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defaultThemeVersion="124226"/>
  <bookViews>
    <workbookView xWindow="0" yWindow="0" windowWidth="19200" windowHeight="11985" tabRatio="767"/>
  </bookViews>
  <sheets>
    <sheet name="Start" sheetId="6" r:id="rId1"/>
    <sheet name="Mehrheitsrechner_ab_11_2014" sheetId="1" r:id="rId2"/>
    <sheet name="Mehrheitsrechner_Art_3_II_Prot" sheetId="4" state="hidden" r:id="rId3"/>
    <sheet name="Mehrheitsrechner_Art_238_II" sheetId="5" r:id="rId4"/>
    <sheet name="Technische Tabelle" sheetId="2" state="hidden" r:id="rId5"/>
    <sheet name="Tabelle1" sheetId="7" state="hidden" r:id="rId6"/>
    <sheet name="Tabelle2" sheetId="8" r:id="rId7"/>
  </sheets>
  <definedNames>
    <definedName name="_xlnm.Print_Area" localSheetId="1">Mehrheitsrechner_ab_11_2014!$A$1:$I$67</definedName>
  </definedNames>
  <calcPr calcId="145621"/>
</workbook>
</file>

<file path=xl/calcChain.xml><?xml version="1.0" encoding="utf-8"?>
<calcChain xmlns="http://schemas.openxmlformats.org/spreadsheetml/2006/main">
  <c r="D36" i="5" l="1"/>
  <c r="D35" i="5"/>
  <c r="D34" i="5"/>
  <c r="D33" i="5"/>
  <c r="D32" i="5"/>
  <c r="D31" i="5"/>
  <c r="D30" i="5"/>
  <c r="D29" i="5"/>
  <c r="D28" i="5"/>
  <c r="D27" i="5"/>
  <c r="D26" i="5"/>
  <c r="D25" i="5"/>
  <c r="D24" i="5"/>
  <c r="D23" i="5"/>
  <c r="D22" i="5"/>
  <c r="D21" i="5"/>
  <c r="D20" i="5"/>
  <c r="D19" i="5"/>
  <c r="D18" i="5"/>
  <c r="D17" i="5"/>
  <c r="D16" i="5"/>
  <c r="D15" i="5"/>
  <c r="D14" i="5"/>
  <c r="D13" i="5"/>
  <c r="D12" i="5"/>
  <c r="D11" i="5"/>
  <c r="D10" i="5"/>
  <c r="D9" i="5"/>
  <c r="D15" i="1"/>
  <c r="D32" i="1"/>
  <c r="D31" i="1"/>
  <c r="D30" i="1"/>
  <c r="D29" i="1"/>
  <c r="D28" i="1"/>
  <c r="D27" i="1"/>
  <c r="D26" i="1"/>
  <c r="D25" i="1"/>
  <c r="D24" i="1"/>
  <c r="D23" i="1"/>
  <c r="D22" i="1"/>
  <c r="D21" i="1"/>
  <c r="D20" i="1"/>
  <c r="D19" i="1"/>
  <c r="D18" i="1"/>
  <c r="D17" i="1"/>
  <c r="D16" i="1"/>
  <c r="D14" i="1"/>
  <c r="D13" i="1"/>
  <c r="D12" i="1"/>
  <c r="D11" i="1"/>
  <c r="D10" i="1"/>
  <c r="D9" i="1"/>
  <c r="D8" i="1"/>
  <c r="D7" i="1"/>
  <c r="D6" i="1"/>
  <c r="D5" i="1"/>
  <c r="F32" i="4" l="1"/>
  <c r="F31" i="4"/>
  <c r="F30" i="4"/>
  <c r="F29" i="4"/>
  <c r="F28" i="4"/>
  <c r="F27" i="4"/>
  <c r="F26" i="4"/>
  <c r="F25" i="4"/>
  <c r="F24" i="4"/>
  <c r="F23" i="4"/>
  <c r="F22" i="4"/>
  <c r="F21" i="4"/>
  <c r="F20" i="4"/>
  <c r="F19" i="4"/>
  <c r="F18" i="4"/>
  <c r="F17" i="4"/>
  <c r="F16" i="4"/>
  <c r="F15" i="4"/>
  <c r="F14" i="4"/>
  <c r="F13" i="4"/>
  <c r="F12" i="4"/>
  <c r="F11" i="4"/>
  <c r="F10" i="4"/>
  <c r="F9" i="4"/>
  <c r="F8" i="4"/>
  <c r="F7" i="4"/>
  <c r="F6" i="4"/>
  <c r="F5" i="4"/>
  <c r="W8" i="2" l="1"/>
  <c r="W9" i="2"/>
  <c r="W18" i="2"/>
  <c r="W19" i="2"/>
  <c r="W20" i="2"/>
  <c r="W21" i="2"/>
  <c r="W22" i="2"/>
  <c r="W23" i="2"/>
  <c r="W24" i="2"/>
  <c r="W25" i="2"/>
  <c r="W26" i="2"/>
  <c r="W27" i="2"/>
  <c r="W28" i="2"/>
  <c r="W29" i="2"/>
  <c r="U6" i="2"/>
  <c r="U7" i="2"/>
  <c r="U8" i="2"/>
  <c r="U9" i="2"/>
  <c r="U10" i="2"/>
  <c r="U11" i="2"/>
  <c r="U12" i="2"/>
  <c r="U13" i="2"/>
  <c r="U14" i="2"/>
  <c r="U15" i="2"/>
  <c r="U16" i="2"/>
  <c r="U17" i="2"/>
  <c r="U18" i="2"/>
  <c r="U19" i="2"/>
  <c r="U20" i="2"/>
  <c r="U21" i="2"/>
  <c r="U22" i="2"/>
  <c r="U23" i="2"/>
  <c r="U24" i="2"/>
  <c r="U25" i="2"/>
  <c r="U26" i="2"/>
  <c r="U27" i="2"/>
  <c r="U28" i="2"/>
  <c r="U29" i="2"/>
  <c r="U30" i="2"/>
  <c r="U31" i="2"/>
  <c r="U32" i="2"/>
  <c r="U5" i="2"/>
  <c r="T6" i="2"/>
  <c r="T7" i="2"/>
  <c r="T8" i="2"/>
  <c r="T9" i="2"/>
  <c r="T10" i="2"/>
  <c r="T11" i="2"/>
  <c r="T12" i="2"/>
  <c r="T13" i="2"/>
  <c r="T14" i="2"/>
  <c r="T15" i="2"/>
  <c r="T16" i="2"/>
  <c r="T17" i="2"/>
  <c r="T18" i="2"/>
  <c r="T19" i="2"/>
  <c r="T20" i="2"/>
  <c r="T21" i="2"/>
  <c r="T22" i="2"/>
  <c r="T23" i="2"/>
  <c r="T24" i="2"/>
  <c r="T25" i="2"/>
  <c r="T26" i="2"/>
  <c r="T27" i="2"/>
  <c r="T28" i="2"/>
  <c r="T29" i="2"/>
  <c r="T30" i="2"/>
  <c r="T31" i="2"/>
  <c r="T32" i="2"/>
  <c r="T5" i="2"/>
  <c r="F32" i="5" l="1"/>
  <c r="F25" i="5"/>
  <c r="F24" i="5"/>
  <c r="F33" i="5"/>
  <c r="E32" i="5"/>
  <c r="F31" i="5"/>
  <c r="E30" i="5"/>
  <c r="E29" i="5"/>
  <c r="E28" i="5"/>
  <c r="F27" i="5"/>
  <c r="F26" i="5"/>
  <c r="E25" i="5"/>
  <c r="E24" i="5"/>
  <c r="F23" i="5"/>
  <c r="F22" i="5"/>
  <c r="F19" i="5"/>
  <c r="F13" i="5"/>
  <c r="F12" i="5"/>
  <c r="S6" i="2"/>
  <c r="S7" i="2"/>
  <c r="S8" i="2"/>
  <c r="S9" i="2"/>
  <c r="S10" i="2"/>
  <c r="S11" i="2"/>
  <c r="S12" i="2"/>
  <c r="S13" i="2"/>
  <c r="S14" i="2"/>
  <c r="S15" i="2"/>
  <c r="S16" i="2"/>
  <c r="S17" i="2"/>
  <c r="S18" i="2"/>
  <c r="S19" i="2"/>
  <c r="S20" i="2"/>
  <c r="S21" i="2"/>
  <c r="S22" i="2"/>
  <c r="S23" i="2"/>
  <c r="S24" i="2"/>
  <c r="S25" i="2"/>
  <c r="S26" i="2"/>
  <c r="S27" i="2"/>
  <c r="S28" i="2"/>
  <c r="S29" i="2"/>
  <c r="S30" i="2"/>
  <c r="S31" i="2"/>
  <c r="S32" i="2"/>
  <c r="V32" i="2" s="1"/>
  <c r="S5" i="2"/>
  <c r="V5" i="2"/>
  <c r="U34" i="2"/>
  <c r="T34" i="2"/>
  <c r="F57" i="5" s="1"/>
  <c r="B37" i="5"/>
  <c r="F58" i="5" s="1"/>
  <c r="F30" i="5" l="1"/>
  <c r="F29" i="5"/>
  <c r="F28" i="5"/>
  <c r="F21" i="5"/>
  <c r="W17" i="2"/>
  <c r="F20" i="5"/>
  <c r="W16" i="2"/>
  <c r="E11" i="5"/>
  <c r="W7" i="2"/>
  <c r="E10" i="5"/>
  <c r="W6" i="2"/>
  <c r="F10" i="5"/>
  <c r="E19" i="5"/>
  <c r="W15" i="2"/>
  <c r="E18" i="5"/>
  <c r="W14" i="2"/>
  <c r="F17" i="5"/>
  <c r="W13" i="2"/>
  <c r="E9" i="5"/>
  <c r="W5" i="2"/>
  <c r="F9" i="5"/>
  <c r="F36" i="5"/>
  <c r="W32" i="2"/>
  <c r="E35" i="5"/>
  <c r="W31" i="2"/>
  <c r="F35" i="5"/>
  <c r="F34" i="5"/>
  <c r="W30" i="2"/>
  <c r="E16" i="5"/>
  <c r="W12" i="2"/>
  <c r="F15" i="5"/>
  <c r="W11" i="2"/>
  <c r="F14" i="5"/>
  <c r="W10" i="2"/>
  <c r="F56" i="5"/>
  <c r="F18" i="5"/>
  <c r="F16" i="5"/>
  <c r="F11" i="5"/>
  <c r="E48" i="5"/>
  <c r="B41" i="5"/>
  <c r="E33" i="5"/>
  <c r="E14" i="5"/>
  <c r="E13" i="5"/>
  <c r="E12" i="5"/>
  <c r="E36" i="5"/>
  <c r="V31" i="2"/>
  <c r="V30" i="2" s="1"/>
  <c r="V29" i="2" s="1"/>
  <c r="V28" i="2" s="1"/>
  <c r="V27" i="2" s="1"/>
  <c r="V26" i="2" s="1"/>
  <c r="V25" i="2" s="1"/>
  <c r="V24" i="2" s="1"/>
  <c r="V23" i="2" s="1"/>
  <c r="V22" i="2" s="1"/>
  <c r="V21" i="2" s="1"/>
  <c r="V20" i="2" s="1"/>
  <c r="V19" i="2" s="1"/>
  <c r="V18" i="2" s="1"/>
  <c r="V17" i="2" s="1"/>
  <c r="V16" i="2" s="1"/>
  <c r="V15" i="2" s="1"/>
  <c r="V14" i="2" s="1"/>
  <c r="V13" i="2" s="1"/>
  <c r="V12" i="2" s="1"/>
  <c r="V11" i="2" s="1"/>
  <c r="V10" i="2" s="1"/>
  <c r="V9" i="2" s="1"/>
  <c r="V8" i="2" s="1"/>
  <c r="V7" i="2" s="1"/>
  <c r="V6" i="2" s="1"/>
  <c r="E34" i="5"/>
  <c r="E31" i="5"/>
  <c r="E23" i="5"/>
  <c r="E22" i="5"/>
  <c r="E21" i="5"/>
  <c r="E20" i="5"/>
  <c r="E17" i="5"/>
  <c r="E15" i="5"/>
  <c r="E27" i="5"/>
  <c r="E26" i="5"/>
  <c r="D37" i="5"/>
  <c r="F61" i="5" s="1"/>
  <c r="S34" i="2"/>
  <c r="C37" i="5" s="1"/>
  <c r="B40" i="5" s="1"/>
  <c r="W34" i="2" l="1"/>
  <c r="F60" i="5" s="1"/>
  <c r="F59" i="5" s="1"/>
  <c r="F37" i="5"/>
  <c r="C45" i="5"/>
  <c r="E52" i="5"/>
  <c r="B5" i="2"/>
  <c r="C5" i="2"/>
  <c r="D5" i="2"/>
  <c r="E5" i="2"/>
  <c r="F5" i="2"/>
  <c r="G5" i="2"/>
  <c r="B6" i="2"/>
  <c r="C6" i="2"/>
  <c r="D6" i="2"/>
  <c r="E6" i="2"/>
  <c r="F6" i="2"/>
  <c r="G6" i="2"/>
  <c r="B7" i="2"/>
  <c r="C7" i="2"/>
  <c r="D7" i="2"/>
  <c r="E7" i="2"/>
  <c r="F7" i="2"/>
  <c r="B8" i="2"/>
  <c r="C8" i="2"/>
  <c r="D8" i="2"/>
  <c r="E8" i="2"/>
  <c r="F8" i="2"/>
  <c r="B9" i="2"/>
  <c r="C9" i="2"/>
  <c r="D9" i="2"/>
  <c r="E9" i="2"/>
  <c r="F9" i="2"/>
  <c r="B10" i="2"/>
  <c r="C10" i="2"/>
  <c r="D10" i="2"/>
  <c r="E10" i="2"/>
  <c r="F10" i="2"/>
  <c r="B11" i="2"/>
  <c r="C11" i="2"/>
  <c r="D11" i="2"/>
  <c r="E11" i="2"/>
  <c r="F11" i="2"/>
  <c r="B12" i="2"/>
  <c r="C12" i="2"/>
  <c r="D12" i="2"/>
  <c r="E12" i="2"/>
  <c r="F12" i="2"/>
  <c r="B13" i="2"/>
  <c r="C13" i="2"/>
  <c r="D13" i="2"/>
  <c r="E13" i="2"/>
  <c r="F13" i="2"/>
  <c r="B14" i="2"/>
  <c r="D14" i="2"/>
  <c r="E14" i="2"/>
  <c r="F14" i="2"/>
  <c r="B15" i="2"/>
  <c r="D15" i="2"/>
  <c r="E15" i="2"/>
  <c r="F15" i="2"/>
  <c r="B16" i="2"/>
  <c r="D16" i="2"/>
  <c r="E16" i="2"/>
  <c r="F16" i="2"/>
  <c r="B17" i="2"/>
  <c r="D17" i="2"/>
  <c r="E17" i="2"/>
  <c r="F17" i="2"/>
  <c r="B18" i="2"/>
  <c r="C18" i="2"/>
  <c r="D18" i="2"/>
  <c r="E18" i="2"/>
  <c r="F18" i="2"/>
  <c r="B19" i="2"/>
  <c r="C19" i="2"/>
  <c r="D19" i="2"/>
  <c r="E19" i="2"/>
  <c r="F19" i="2"/>
  <c r="B20" i="2"/>
  <c r="C20" i="2"/>
  <c r="D20" i="2"/>
  <c r="E20" i="2"/>
  <c r="F20" i="2"/>
  <c r="B21" i="2"/>
  <c r="C21" i="2"/>
  <c r="D21" i="2"/>
  <c r="E21" i="2"/>
  <c r="F21" i="2"/>
  <c r="B22" i="2"/>
  <c r="C22" i="2"/>
  <c r="D22" i="2"/>
  <c r="E22" i="2"/>
  <c r="F22" i="2"/>
  <c r="B23" i="2"/>
  <c r="C23" i="2"/>
  <c r="D23" i="2"/>
  <c r="E23" i="2"/>
  <c r="F23" i="2"/>
  <c r="G23" i="2"/>
  <c r="B24" i="2"/>
  <c r="C24" i="2"/>
  <c r="D24" i="2"/>
  <c r="E24" i="2"/>
  <c r="F24" i="2"/>
  <c r="G24" i="2"/>
  <c r="B25" i="2"/>
  <c r="C25" i="2"/>
  <c r="D25" i="2"/>
  <c r="E25" i="2"/>
  <c r="F25" i="2"/>
  <c r="G25" i="2"/>
  <c r="B26" i="2"/>
  <c r="C26" i="2"/>
  <c r="D26" i="2"/>
  <c r="E26" i="2"/>
  <c r="F26" i="2"/>
  <c r="G26" i="2"/>
  <c r="B27" i="2"/>
  <c r="C27" i="2"/>
  <c r="D27" i="2"/>
  <c r="E27" i="2"/>
  <c r="F27" i="2"/>
  <c r="G27" i="2"/>
  <c r="B28" i="2"/>
  <c r="C28" i="2"/>
  <c r="D28" i="2"/>
  <c r="E28" i="2"/>
  <c r="F28" i="2"/>
  <c r="G28" i="2"/>
  <c r="B29" i="2"/>
  <c r="C29" i="2"/>
  <c r="D29" i="2"/>
  <c r="E29" i="2"/>
  <c r="F29" i="2"/>
  <c r="G29" i="2"/>
  <c r="B30" i="2"/>
  <c r="C30" i="2"/>
  <c r="D30" i="2"/>
  <c r="E30" i="2"/>
  <c r="F30" i="2"/>
  <c r="G30" i="2"/>
  <c r="B31" i="2"/>
  <c r="C31" i="2"/>
  <c r="D31" i="2"/>
  <c r="E31" i="2"/>
  <c r="F31" i="2"/>
  <c r="G31" i="2"/>
  <c r="B32" i="2"/>
  <c r="C32" i="2"/>
  <c r="D32" i="2"/>
  <c r="E32" i="2"/>
  <c r="F32" i="2"/>
  <c r="G32" i="2"/>
  <c r="R6" i="2"/>
  <c r="R18" i="2"/>
  <c r="R20" i="2"/>
  <c r="R21" i="2"/>
  <c r="R23" i="2"/>
  <c r="R24" i="2"/>
  <c r="R25" i="2"/>
  <c r="R26" i="2"/>
  <c r="R27" i="2"/>
  <c r="R28" i="2"/>
  <c r="R29" i="2"/>
  <c r="R30" i="2"/>
  <c r="R31" i="2"/>
  <c r="R32" i="2"/>
  <c r="R5" i="2"/>
  <c r="O6" i="2"/>
  <c r="O7" i="2"/>
  <c r="O8" i="2"/>
  <c r="O9" i="2"/>
  <c r="O10" i="2"/>
  <c r="O11" i="2"/>
  <c r="O12" i="2"/>
  <c r="O13" i="2"/>
  <c r="O14" i="2"/>
  <c r="O15" i="2"/>
  <c r="O16" i="2"/>
  <c r="O17" i="2"/>
  <c r="O18" i="2"/>
  <c r="O19" i="2"/>
  <c r="O20" i="2"/>
  <c r="O21" i="2"/>
  <c r="O22" i="2"/>
  <c r="O23" i="2"/>
  <c r="O24" i="2"/>
  <c r="O25" i="2"/>
  <c r="O26" i="2"/>
  <c r="O27" i="2"/>
  <c r="O28" i="2"/>
  <c r="O29" i="2"/>
  <c r="O30" i="2"/>
  <c r="O31" i="2"/>
  <c r="O32" i="2"/>
  <c r="O5" i="2"/>
  <c r="D34" i="2" l="1"/>
  <c r="E34" i="2"/>
  <c r="B34" i="2"/>
  <c r="F34" i="2"/>
  <c r="G21" i="2"/>
  <c r="G20" i="2"/>
  <c r="G18" i="2"/>
  <c r="D17" i="4"/>
  <c r="R15" i="2" l="1"/>
  <c r="G15" i="2"/>
  <c r="G17" i="2"/>
  <c r="R17" i="2"/>
  <c r="G13" i="2"/>
  <c r="R13" i="2"/>
  <c r="G19" i="2"/>
  <c r="R19" i="2"/>
  <c r="G12" i="2"/>
  <c r="R12" i="2"/>
  <c r="G14" i="2"/>
  <c r="R14" i="2"/>
  <c r="G16" i="2"/>
  <c r="R16" i="2"/>
  <c r="G22" i="2"/>
  <c r="R22" i="2"/>
  <c r="G11" i="2"/>
  <c r="R11" i="2"/>
  <c r="G10" i="2"/>
  <c r="R10" i="2"/>
  <c r="G7" i="2"/>
  <c r="R7" i="2"/>
  <c r="G9" i="2"/>
  <c r="R9" i="2"/>
  <c r="G8" i="2"/>
  <c r="R8" i="2"/>
  <c r="D32" i="4"/>
  <c r="D31" i="4"/>
  <c r="D30" i="4"/>
  <c r="D29" i="4"/>
  <c r="D28" i="4"/>
  <c r="D27" i="4"/>
  <c r="D26" i="4"/>
  <c r="D25" i="4"/>
  <c r="D24" i="4"/>
  <c r="D23" i="4"/>
  <c r="D22" i="4"/>
  <c r="D21" i="4"/>
  <c r="D20" i="4"/>
  <c r="D19" i="4"/>
  <c r="D18" i="4"/>
  <c r="D16" i="4"/>
  <c r="D15" i="4"/>
  <c r="D14" i="4"/>
  <c r="D13" i="4"/>
  <c r="D12" i="4"/>
  <c r="D11" i="4"/>
  <c r="D10" i="4"/>
  <c r="D9" i="4"/>
  <c r="D6" i="4"/>
  <c r="D7" i="4"/>
  <c r="D8" i="4"/>
  <c r="D5" i="4"/>
  <c r="E5" i="4" s="1"/>
  <c r="N6" i="2"/>
  <c r="N7" i="2"/>
  <c r="N8" i="2"/>
  <c r="N9" i="2"/>
  <c r="N10" i="2"/>
  <c r="N11" i="2"/>
  <c r="N12" i="2"/>
  <c r="N13" i="2"/>
  <c r="N14" i="2"/>
  <c r="N15" i="2"/>
  <c r="N16" i="2"/>
  <c r="N17" i="2"/>
  <c r="N18" i="2"/>
  <c r="N19" i="2"/>
  <c r="N20" i="2"/>
  <c r="N21" i="2"/>
  <c r="N22" i="2"/>
  <c r="N23" i="2"/>
  <c r="N24" i="2"/>
  <c r="N25" i="2"/>
  <c r="N26" i="2"/>
  <c r="N27" i="2"/>
  <c r="N28" i="2"/>
  <c r="N29" i="2"/>
  <c r="N30" i="2"/>
  <c r="N31" i="2"/>
  <c r="N32" i="2"/>
  <c r="Q32" i="2" s="1"/>
  <c r="N5" i="2"/>
  <c r="P32" i="2"/>
  <c r="P31" i="2"/>
  <c r="P30" i="2"/>
  <c r="P29" i="2"/>
  <c r="P28" i="2"/>
  <c r="P27" i="2"/>
  <c r="P26" i="2"/>
  <c r="P25" i="2"/>
  <c r="P24" i="2"/>
  <c r="P23" i="2"/>
  <c r="P22" i="2"/>
  <c r="P21" i="2"/>
  <c r="P20" i="2"/>
  <c r="P19" i="2"/>
  <c r="P18" i="2"/>
  <c r="P17" i="2"/>
  <c r="P16" i="2"/>
  <c r="P15" i="2"/>
  <c r="P14" i="2"/>
  <c r="P13" i="2"/>
  <c r="P12" i="2"/>
  <c r="P11" i="2"/>
  <c r="P10" i="2"/>
  <c r="P9" i="2"/>
  <c r="P8" i="2"/>
  <c r="P7" i="2"/>
  <c r="P6" i="2"/>
  <c r="Q5" i="2"/>
  <c r="P5" i="2"/>
  <c r="O34" i="2"/>
  <c r="B33" i="4"/>
  <c r="R34" i="2" l="1"/>
  <c r="I52" i="4" s="1"/>
  <c r="G34" i="2"/>
  <c r="I48" i="4"/>
  <c r="I50" i="4"/>
  <c r="F50" i="4"/>
  <c r="F49" i="4"/>
  <c r="I49" i="4"/>
  <c r="P34" i="2"/>
  <c r="I37" i="4"/>
  <c r="C37" i="4"/>
  <c r="Q31" i="2"/>
  <c r="Q30" i="2" s="1"/>
  <c r="Q29" i="2" s="1"/>
  <c r="Q28" i="2" s="1"/>
  <c r="Q27" i="2" s="1"/>
  <c r="Q26" i="2" s="1"/>
  <c r="Q25" i="2" s="1"/>
  <c r="Q24" i="2" s="1"/>
  <c r="Q23" i="2" s="1"/>
  <c r="Q22" i="2" s="1"/>
  <c r="Q21" i="2" s="1"/>
  <c r="Q20" i="2" s="1"/>
  <c r="Q19" i="2" s="1"/>
  <c r="Q18" i="2" s="1"/>
  <c r="Q17" i="2" s="1"/>
  <c r="Q16" i="2" s="1"/>
  <c r="Q15" i="2" s="1"/>
  <c r="Q14" i="2" s="1"/>
  <c r="Q13" i="2" s="1"/>
  <c r="Q12" i="2" s="1"/>
  <c r="Q11" i="2" s="1"/>
  <c r="Q10" i="2" s="1"/>
  <c r="Q9" i="2" s="1"/>
  <c r="Q8" i="2" s="1"/>
  <c r="Q7" i="2" s="1"/>
  <c r="Q6" i="2" s="1"/>
  <c r="N34" i="2"/>
  <c r="C33" i="4" s="1"/>
  <c r="M6" i="2"/>
  <c r="M7" i="2"/>
  <c r="M8" i="2"/>
  <c r="M9" i="2"/>
  <c r="M10" i="2"/>
  <c r="M11" i="2"/>
  <c r="M12" i="2"/>
  <c r="M13" i="2"/>
  <c r="M18" i="2"/>
  <c r="M19" i="2"/>
  <c r="M20" i="2"/>
  <c r="M21" i="2"/>
  <c r="M22" i="2"/>
  <c r="M23" i="2"/>
  <c r="M24" i="2"/>
  <c r="M25" i="2"/>
  <c r="M26" i="2"/>
  <c r="M27" i="2"/>
  <c r="M28" i="2"/>
  <c r="M29" i="2"/>
  <c r="M30" i="2"/>
  <c r="M31" i="2"/>
  <c r="M32" i="2"/>
  <c r="M5" i="2"/>
  <c r="L5" i="2"/>
  <c r="I32" i="2"/>
  <c r="K6" i="2"/>
  <c r="K7" i="2"/>
  <c r="K8" i="2"/>
  <c r="K9" i="2"/>
  <c r="K10" i="2"/>
  <c r="K11" i="2"/>
  <c r="K12" i="2"/>
  <c r="K13" i="2"/>
  <c r="K14" i="2"/>
  <c r="K15" i="2"/>
  <c r="K16" i="2"/>
  <c r="K17" i="2"/>
  <c r="K18" i="2"/>
  <c r="K19" i="2"/>
  <c r="K20" i="2"/>
  <c r="K21" i="2"/>
  <c r="K22" i="2"/>
  <c r="K23" i="2"/>
  <c r="K24" i="2"/>
  <c r="K25" i="2"/>
  <c r="K26" i="2"/>
  <c r="K27" i="2"/>
  <c r="K28" i="2"/>
  <c r="K29" i="2"/>
  <c r="K30" i="2"/>
  <c r="K31" i="2"/>
  <c r="K32" i="2"/>
  <c r="K5" i="2"/>
  <c r="J6" i="2"/>
  <c r="J7" i="2"/>
  <c r="J8" i="2"/>
  <c r="J9" i="2"/>
  <c r="J10" i="2"/>
  <c r="J11" i="2"/>
  <c r="J12" i="2"/>
  <c r="J13" i="2"/>
  <c r="J14" i="2"/>
  <c r="J15" i="2"/>
  <c r="J16" i="2"/>
  <c r="J17" i="2"/>
  <c r="J18" i="2"/>
  <c r="J19" i="2"/>
  <c r="J20" i="2"/>
  <c r="J21" i="2"/>
  <c r="J22" i="2"/>
  <c r="J23" i="2"/>
  <c r="J24" i="2"/>
  <c r="J25" i="2"/>
  <c r="J26" i="2"/>
  <c r="J27" i="2"/>
  <c r="J28" i="2"/>
  <c r="J29" i="2"/>
  <c r="J30" i="2"/>
  <c r="J31" i="2"/>
  <c r="J32" i="2"/>
  <c r="J5" i="2"/>
  <c r="F32" i="1"/>
  <c r="E32" i="1"/>
  <c r="E31" i="1"/>
  <c r="E30" i="1"/>
  <c r="E27" i="1"/>
  <c r="E26" i="1"/>
  <c r="E25" i="1"/>
  <c r="E24" i="1"/>
  <c r="E23" i="1"/>
  <c r="E22" i="1"/>
  <c r="E21" i="1"/>
  <c r="E19" i="1"/>
  <c r="E18" i="1"/>
  <c r="M16" i="2"/>
  <c r="M14" i="2"/>
  <c r="E13" i="1"/>
  <c r="E12" i="1"/>
  <c r="E11" i="1"/>
  <c r="E10" i="1"/>
  <c r="E9" i="1"/>
  <c r="E8" i="1"/>
  <c r="E6" i="1"/>
  <c r="E7" i="1"/>
  <c r="E28" i="1"/>
  <c r="E29" i="1"/>
  <c r="E5" i="1"/>
  <c r="I6" i="2"/>
  <c r="I7" i="2"/>
  <c r="I8" i="2"/>
  <c r="I9" i="2"/>
  <c r="I10" i="2"/>
  <c r="I11" i="2"/>
  <c r="I12" i="2"/>
  <c r="I13" i="2"/>
  <c r="I14" i="2"/>
  <c r="I15" i="2"/>
  <c r="I16" i="2"/>
  <c r="I17" i="2"/>
  <c r="I18" i="2"/>
  <c r="I19" i="2"/>
  <c r="I20" i="2"/>
  <c r="I21" i="2"/>
  <c r="I22" i="2"/>
  <c r="I23" i="2"/>
  <c r="I24" i="2"/>
  <c r="I25" i="2"/>
  <c r="I26" i="2"/>
  <c r="I27" i="2"/>
  <c r="I28" i="2"/>
  <c r="I29" i="2"/>
  <c r="I30" i="2"/>
  <c r="I31" i="2"/>
  <c r="I5" i="2"/>
  <c r="F6" i="1"/>
  <c r="F7" i="1"/>
  <c r="F8" i="1"/>
  <c r="F9" i="1"/>
  <c r="F10" i="1"/>
  <c r="F11" i="1"/>
  <c r="F12" i="1"/>
  <c r="F13" i="1"/>
  <c r="F14" i="1"/>
  <c r="F15" i="1"/>
  <c r="F16" i="1"/>
  <c r="F17" i="1"/>
  <c r="F18" i="1"/>
  <c r="F19" i="1"/>
  <c r="E20" i="1"/>
  <c r="F20" i="1"/>
  <c r="F21" i="1"/>
  <c r="F22" i="1"/>
  <c r="F23" i="1"/>
  <c r="F24" i="1"/>
  <c r="F25" i="1"/>
  <c r="F26" i="1"/>
  <c r="F27" i="1"/>
  <c r="F28" i="1"/>
  <c r="F29" i="1"/>
  <c r="F30" i="1"/>
  <c r="F31" i="1"/>
  <c r="F5" i="1"/>
  <c r="B33" i="1"/>
  <c r="C37" i="1" l="1"/>
  <c r="F53" i="1"/>
  <c r="E15" i="1"/>
  <c r="C15" i="2"/>
  <c r="E17" i="1"/>
  <c r="C17" i="2"/>
  <c r="E14" i="1"/>
  <c r="C14" i="2"/>
  <c r="E16" i="1"/>
  <c r="C16" i="2"/>
  <c r="M17" i="2"/>
  <c r="M15" i="2"/>
  <c r="F48" i="4"/>
  <c r="C36" i="4"/>
  <c r="F52" i="4"/>
  <c r="E45" i="1"/>
  <c r="L32" i="2"/>
  <c r="L31" i="2" s="1"/>
  <c r="L30" i="2" s="1"/>
  <c r="L29" i="2" s="1"/>
  <c r="L28" i="2" s="1"/>
  <c r="L27" i="2" s="1"/>
  <c r="L26" i="2" s="1"/>
  <c r="L25" i="2" s="1"/>
  <c r="L24" i="2" s="1"/>
  <c r="L23" i="2" s="1"/>
  <c r="L22" i="2" s="1"/>
  <c r="L21" i="2" s="1"/>
  <c r="L20" i="2" s="1"/>
  <c r="L19" i="2" s="1"/>
  <c r="L18" i="2" s="1"/>
  <c r="L17" i="2" s="1"/>
  <c r="L16" i="2" s="1"/>
  <c r="L15" i="2" s="1"/>
  <c r="L14" i="2" s="1"/>
  <c r="L13" i="2" s="1"/>
  <c r="L12" i="2" s="1"/>
  <c r="L11" i="2" s="1"/>
  <c r="L10" i="2" s="1"/>
  <c r="L9" i="2" s="1"/>
  <c r="L8" i="2" s="1"/>
  <c r="L7" i="2" s="1"/>
  <c r="L6" i="2" s="1"/>
  <c r="J34" i="2"/>
  <c r="K34" i="2"/>
  <c r="I34" i="2"/>
  <c r="C33" i="1" s="1"/>
  <c r="M34" i="2" l="1"/>
  <c r="F56" i="1" s="1"/>
  <c r="C34" i="2"/>
  <c r="F52" i="1"/>
  <c r="F51" i="1" s="1"/>
  <c r="E44" i="1"/>
  <c r="I36" i="4" l="1"/>
  <c r="I35" i="4" s="1"/>
  <c r="F33" i="4"/>
  <c r="D33" i="4"/>
  <c r="C35" i="4"/>
  <c r="G32" i="4"/>
  <c r="E32" i="4"/>
  <c r="G31" i="4"/>
  <c r="E31" i="4"/>
  <c r="G30" i="4"/>
  <c r="E30" i="4"/>
  <c r="G29" i="4"/>
  <c r="E29" i="4"/>
  <c r="G28" i="4"/>
  <c r="E28" i="4"/>
  <c r="G27" i="4"/>
  <c r="E27" i="4"/>
  <c r="G26" i="4"/>
  <c r="E26" i="4"/>
  <c r="G25" i="4"/>
  <c r="E25" i="4"/>
  <c r="G24" i="4"/>
  <c r="E24" i="4"/>
  <c r="G23" i="4"/>
  <c r="E23" i="4"/>
  <c r="G22" i="4"/>
  <c r="E22" i="4"/>
  <c r="G21" i="4"/>
  <c r="E21" i="4"/>
  <c r="G20" i="4"/>
  <c r="E20" i="4"/>
  <c r="G19" i="4"/>
  <c r="E19" i="4"/>
  <c r="G18" i="4"/>
  <c r="E18" i="4"/>
  <c r="G17" i="4"/>
  <c r="E17" i="4"/>
  <c r="G16" i="4"/>
  <c r="E16" i="4"/>
  <c r="G15" i="4"/>
  <c r="E15" i="4"/>
  <c r="G14" i="4"/>
  <c r="E14" i="4"/>
  <c r="G13" i="4"/>
  <c r="E13" i="4"/>
  <c r="G12" i="4"/>
  <c r="E12" i="4"/>
  <c r="G11" i="4"/>
  <c r="E11" i="4"/>
  <c r="G10" i="4"/>
  <c r="E10" i="4"/>
  <c r="G9" i="4"/>
  <c r="E9" i="4"/>
  <c r="G8" i="4"/>
  <c r="E8" i="4"/>
  <c r="G7" i="4"/>
  <c r="E7" i="4"/>
  <c r="G6" i="4"/>
  <c r="E6" i="4"/>
  <c r="G5" i="4"/>
  <c r="B39" i="5"/>
  <c r="D33" i="1"/>
  <c r="F57" i="1" s="1"/>
  <c r="I45" i="4" l="1"/>
  <c r="I51" i="4"/>
  <c r="D41" i="4"/>
  <c r="I41" i="4"/>
  <c r="I53" i="4"/>
  <c r="E45" i="4"/>
  <c r="F53" i="4"/>
  <c r="F51" i="4" s="1"/>
  <c r="E51" i="5"/>
  <c r="E47" i="5" s="1"/>
  <c r="G33" i="4"/>
  <c r="I40" i="4"/>
  <c r="E33" i="4"/>
  <c r="D40" i="4" s="1"/>
  <c r="E37" i="5"/>
  <c r="C44" i="5" s="1"/>
  <c r="E48" i="1"/>
  <c r="D41" i="1"/>
  <c r="F55" i="1"/>
  <c r="C36" i="1"/>
  <c r="C43" i="5" l="1"/>
  <c r="H64" i="5" s="1"/>
  <c r="E44" i="4"/>
  <c r="I44" i="4"/>
  <c r="I43" i="4" s="1"/>
  <c r="E43" i="4"/>
  <c r="G60" i="1"/>
  <c r="G55" i="4"/>
  <c r="I56" i="4"/>
  <c r="D39" i="4"/>
  <c r="I39" i="4"/>
  <c r="E33" i="1"/>
  <c r="D40" i="1" s="1"/>
  <c r="D39" i="1" s="1"/>
  <c r="C35" i="1"/>
  <c r="F33" i="1"/>
  <c r="I55" i="4" l="1"/>
  <c r="L36" i="2"/>
  <c r="E47" i="1"/>
  <c r="G56" i="4"/>
  <c r="H65" i="5"/>
  <c r="E43" i="1" l="1"/>
  <c r="G59" i="1" s="1"/>
</calcChain>
</file>

<file path=xl/sharedStrings.xml><?xml version="1.0" encoding="utf-8"?>
<sst xmlns="http://schemas.openxmlformats.org/spreadsheetml/2006/main" count="432" uniqueCount="125">
  <si>
    <t>Mitgliedstaat</t>
  </si>
  <si>
    <t>Stimmverhalten (J für Ja, N für Nein, E für Enthaltung)</t>
  </si>
  <si>
    <t>"Zustimmende" Bevölkerung</t>
  </si>
  <si>
    <t>"Ablehnende" bzw. "enhaltende" Bevölkerung</t>
  </si>
  <si>
    <t>Deutschland</t>
  </si>
  <si>
    <t>Frankreich</t>
  </si>
  <si>
    <t>Vereinigtes Königreich</t>
  </si>
  <si>
    <t>Italien</t>
  </si>
  <si>
    <t>Spanien</t>
  </si>
  <si>
    <t>Polen</t>
  </si>
  <si>
    <t>Rumänien</t>
  </si>
  <si>
    <t>Niederlande</t>
  </si>
  <si>
    <t>Griechenland</t>
  </si>
  <si>
    <t>Belgien</t>
  </si>
  <si>
    <t>Portugal</t>
  </si>
  <si>
    <t>Tschechische Republik</t>
  </si>
  <si>
    <t>Ungarn</t>
  </si>
  <si>
    <t>j</t>
  </si>
  <si>
    <t>Schweden</t>
  </si>
  <si>
    <t>Österreich</t>
  </si>
  <si>
    <t>Bulgarien</t>
  </si>
  <si>
    <t>Kroatien</t>
  </si>
  <si>
    <t>Dänemark</t>
  </si>
  <si>
    <t>Slowakei</t>
  </si>
  <si>
    <t>Finnland</t>
  </si>
  <si>
    <t>Irland</t>
  </si>
  <si>
    <t>Litauen</t>
  </si>
  <si>
    <t>Slowenien</t>
  </si>
  <si>
    <t>Lettland</t>
  </si>
  <si>
    <t>Estland</t>
  </si>
  <si>
    <t>Zypern</t>
  </si>
  <si>
    <t>Luxemburg</t>
  </si>
  <si>
    <t>Malta</t>
  </si>
  <si>
    <t>1. Mehrheit der Mitgliedstaaten?</t>
  </si>
  <si>
    <t>Zustimmende Mitgliedstaaten</t>
  </si>
  <si>
    <t>Zustimmende Bevölkerung</t>
  </si>
  <si>
    <t>Benötigte Bevölkerungszahl (65%)</t>
  </si>
  <si>
    <t>5. Ergebnis:</t>
  </si>
  <si>
    <t>Qualifizierte Mehrheit erreicht?</t>
  </si>
  <si>
    <t>Verzögerung durch den Ioannina-Mechanismus?</t>
  </si>
  <si>
    <t>Benötigt für Ioannina</t>
  </si>
  <si>
    <t>Abstimmung ab 01.11.2014</t>
  </si>
  <si>
    <t>Stimmenzahl</t>
  </si>
  <si>
    <t xml:space="preserve">Zustimmende Stimmen </t>
  </si>
  <si>
    <t>Benötigte Anzahl von Mitgliedstaaten</t>
  </si>
  <si>
    <t>2. Ausreichende Stimmzahl?</t>
  </si>
  <si>
    <t>Ja-Stimmen</t>
  </si>
  <si>
    <t>Benötigte Bevölkerungszahl (62 %)</t>
  </si>
  <si>
    <t>Nicht zustimmende Mitgliedstaaten</t>
  </si>
  <si>
    <t>3. Verzögerung durch den Ioannina-Mechanismus?</t>
  </si>
  <si>
    <t>4. Ergebnis:</t>
  </si>
  <si>
    <t>Minimum für Sperrminorität</t>
  </si>
  <si>
    <t>Stimmenzahl NEIN-Stimmen für Ioannina</t>
  </si>
  <si>
    <t>Bevölkerungszahl NEIN-Stimmen für Ioannina</t>
  </si>
  <si>
    <t>Abstimmung nach Art. 3 II ÜbBEstProt</t>
  </si>
  <si>
    <t xml:space="preserve">Abstimmung nach Art. 238 II </t>
  </si>
  <si>
    <t>Berechnung Ioannina-Mehrheit</t>
  </si>
  <si>
    <t>(2/3)</t>
  </si>
  <si>
    <t>Nicht zustimmende Bevölkerung</t>
  </si>
  <si>
    <t>Ablehnung</t>
  </si>
  <si>
    <t>Infolge der Ablehnung durch 37,5% der Mitgliedstaaten?</t>
  </si>
  <si>
    <t>Infolge der Ablehnung durch 28,5% der Bevölkerung?</t>
  </si>
  <si>
    <t>Gemäß Art. 16 Abs. 5 EUV i.V.m. Art. 3 des Protokolls über die Übergangsbestimmungen zum Vertrag von Lissabon beschließt der Rat auf Antrag eines Mitgliedstaates mit qualifizierter Mehrheit gemäß Art. 3 Abs. 3 ÜbBestProt (entsprechend dem ehemaligen Art. 205 Abs. 2 EGV).</t>
  </si>
  <si>
    <t>Wählen Sie bitte aus, nach welchem Verfahren abgestimmt werden soll (durch Mausklick auf das jeweilige Feld)</t>
  </si>
  <si>
    <t>Normales Abstimmungsverfahren ab 01.11.2014</t>
  </si>
  <si>
    <t>Abstimmung ohne Vorschlag der Kommission</t>
  </si>
  <si>
    <t>- Ausnahmefall nach Art. 238 Abs. 2 AEUV.</t>
  </si>
  <si>
    <t>- Erforderliche Mehrheit der MS erhöht.</t>
  </si>
  <si>
    <t>Willkommen zum Mehrheitsrechner für Abstimmungen im Rat</t>
  </si>
  <si>
    <t>Benötigte Bevölkerungszahl (&gt; 35%)</t>
  </si>
  <si>
    <r>
      <t>Qualifizierte Mehrheit (Art. 16 Abs. 4 EUV) ab 1.11.2014</t>
    </r>
    <r>
      <rPr>
        <b/>
        <vertAlign val="superscript"/>
        <sz val="14"/>
        <color rgb="FF0000FF"/>
        <rFont val="Arial"/>
        <family val="2"/>
      </rPr>
      <t>1</t>
    </r>
  </si>
  <si>
    <r>
      <t>Bevölkerung</t>
    </r>
    <r>
      <rPr>
        <vertAlign val="superscript"/>
        <sz val="10"/>
        <rFont val="Arial"/>
        <family val="2"/>
      </rPr>
      <t>3</t>
    </r>
  </si>
  <si>
    <r>
      <t>Benötigte Anzahl von Mitgliedstaaten</t>
    </r>
    <r>
      <rPr>
        <b/>
        <i/>
        <vertAlign val="superscript"/>
        <sz val="10"/>
        <color rgb="FF0000FF"/>
        <rFont val="Arial"/>
        <family val="2"/>
      </rPr>
      <t>2</t>
    </r>
  </si>
  <si>
    <r>
      <t>2b. Sperrminorität?</t>
    </r>
    <r>
      <rPr>
        <b/>
        <vertAlign val="superscript"/>
        <sz val="12"/>
        <color rgb="FF0000FF"/>
        <rFont val="Arial"/>
        <family val="2"/>
      </rPr>
      <t>4</t>
    </r>
  </si>
  <si>
    <r>
      <rPr>
        <vertAlign val="superscript"/>
        <sz val="10"/>
        <rFont val="Arial"/>
        <family val="2"/>
      </rPr>
      <t>1</t>
    </r>
    <r>
      <rPr>
        <sz val="10"/>
        <rFont val="Arial"/>
        <family val="2"/>
      </rPr>
      <t xml:space="preserve"> Alle Angaben sind überprüft und getestet. Für die Richtigkeit der Angaben sowie das ordnungsgemäße Funktionieren der Datei kann jedoch keine Haftung übernommen werden.</t>
    </r>
  </si>
  <si>
    <r>
      <rPr>
        <vertAlign val="superscript"/>
        <sz val="10"/>
        <rFont val="Arial"/>
        <family val="2"/>
      </rPr>
      <t>2</t>
    </r>
    <r>
      <rPr>
        <sz val="10"/>
        <rFont val="Arial"/>
        <family val="2"/>
      </rPr>
      <t xml:space="preserve"> Nach Art. 16 Abs. 4 UAbs. 1 EUV ist für die qualifizierte Mehrheit die Zustimmung 55% der Mitglieder des Rates erforderlich, jedoch nicht weniger als 15 Ratsmitglieder.</t>
    </r>
  </si>
  <si>
    <r>
      <t>Qualifizierte Mehrheit nach Art. 3 Abs. 2 ÜbBestProt</t>
    </r>
    <r>
      <rPr>
        <b/>
        <vertAlign val="superscript"/>
        <sz val="14"/>
        <color rgb="FF00B050"/>
        <rFont val="Arial"/>
        <family val="2"/>
      </rPr>
      <t>1</t>
    </r>
  </si>
  <si>
    <r>
      <t>Benötigte Stimmen für qualifizierte Mehrheit</t>
    </r>
    <r>
      <rPr>
        <b/>
        <i/>
        <vertAlign val="superscript"/>
        <sz val="10"/>
        <color rgb="FF00B050"/>
        <rFont val="Arial"/>
        <family val="2"/>
      </rPr>
      <t>2</t>
    </r>
  </si>
  <si>
    <r>
      <t>3. Bevölkerungskriterium?</t>
    </r>
    <r>
      <rPr>
        <b/>
        <vertAlign val="superscript"/>
        <sz val="12"/>
        <color rgb="FF00B050"/>
        <rFont val="Arial"/>
        <family val="2"/>
      </rPr>
      <t>3</t>
    </r>
  </si>
  <si>
    <r>
      <t>4. Verzögerung durch den Ioannina-Mechanismus?</t>
    </r>
    <r>
      <rPr>
        <b/>
        <vertAlign val="superscript"/>
        <sz val="12"/>
        <color rgb="FF00B050"/>
        <rFont val="Arial"/>
        <family val="2"/>
      </rPr>
      <t>4</t>
    </r>
  </si>
  <si>
    <r>
      <rPr>
        <vertAlign val="superscript"/>
        <sz val="10"/>
        <rFont val="Arial"/>
        <family val="2"/>
      </rPr>
      <t>1</t>
    </r>
    <r>
      <rPr>
        <sz val="10"/>
        <rFont val="Arial"/>
        <family val="2"/>
      </rPr>
      <t xml:space="preserve"> Alle Angaben sind überprüft und getestet. Für die Richtigkeit der Angaben sowie eine ordnungsgemäße Funktion der Datei kann jedoch keine Haftung übernommen werden. </t>
    </r>
  </si>
  <si>
    <t xml:space="preserve">Alle Angaben sind überprüft und getestet. Für die Richtigkeit der Angaben sowie eine ordnungsgemäße Funktion der Datei kann jedoch keine Haftung übernommen werden. </t>
  </si>
  <si>
    <r>
      <rPr>
        <vertAlign val="superscript"/>
        <sz val="10"/>
        <rFont val="Arial"/>
        <family val="2"/>
      </rPr>
      <t>4</t>
    </r>
    <r>
      <rPr>
        <sz val="10"/>
        <rFont val="Arial"/>
        <family val="2"/>
      </rPr>
      <t xml:space="preserve"> Der Beschluss des Rates zum Ioannina-Mechanismus nimmt nicht ausdrücklich auf die Abstimmung nach dem alten Verfahren Bezug; daher kann noch nicht abschließend geklärt werden, ob der Mechanismus hier in der Praxis angewendet werden wird. Sollte dies im Einzelfall entscheidungserheblich sein, halten Sie bitte mit Referat EA4 Rücksprache zum Vorgehen.</t>
    </r>
  </si>
  <si>
    <t>Sonderfall: Art. 3 Abs. 2 Satz 2, Abs. 3     UA. 3 S. 2 ÜbBestProt: 2/3 Mehrheit (Äquivalent zu Art. 238 Abs. 2, ohne Vorschlag der Kommission)</t>
  </si>
  <si>
    <r>
      <t>Benötigte Anzahl von Mitgliedstaaten (72 %)</t>
    </r>
    <r>
      <rPr>
        <b/>
        <i/>
        <vertAlign val="superscript"/>
        <sz val="10"/>
        <color theme="5"/>
        <rFont val="Arial"/>
        <family val="2"/>
      </rPr>
      <t>2</t>
    </r>
  </si>
  <si>
    <r>
      <t>2b. Sperrminorität?</t>
    </r>
    <r>
      <rPr>
        <b/>
        <vertAlign val="superscript"/>
        <sz val="12"/>
        <color theme="5"/>
        <rFont val="Arial"/>
        <family val="2"/>
      </rPr>
      <t>4</t>
    </r>
  </si>
  <si>
    <r>
      <rPr>
        <vertAlign val="superscript"/>
        <sz val="10"/>
        <rFont val="Arial"/>
        <family val="2"/>
      </rPr>
      <t>2</t>
    </r>
    <r>
      <rPr>
        <sz val="10"/>
        <rFont val="Arial"/>
        <family val="2"/>
      </rPr>
      <t xml:space="preserve"> Nach Art. 238 Abs. 2 AEUV ist für eine qualifizierte Mehrheit die Zustimmung von 72% der Mitglieder des Rates erforderlich.</t>
    </r>
  </si>
  <si>
    <r>
      <t>2a. Bevölkerungskriterium?</t>
    </r>
    <r>
      <rPr>
        <b/>
        <vertAlign val="superscript"/>
        <sz val="12"/>
        <color rgb="FF0000FF"/>
        <rFont val="Arial"/>
        <family val="2"/>
      </rPr>
      <t>3</t>
    </r>
  </si>
  <si>
    <r>
      <t>2a. Bevölkerungskriterium?</t>
    </r>
    <r>
      <rPr>
        <b/>
        <vertAlign val="superscript"/>
        <sz val="12"/>
        <color theme="5"/>
        <rFont val="Arial"/>
        <family val="2"/>
      </rPr>
      <t>3</t>
    </r>
  </si>
  <si>
    <t xml:space="preserve"> - Erfordert Mehrheit der MS und Mehrheit der Bevölkerung</t>
  </si>
  <si>
    <t xml:space="preserve"> - Regelfall, wenn kein anderes Verfahren greift.</t>
  </si>
  <si>
    <r>
      <rPr>
        <vertAlign val="superscript"/>
        <sz val="8"/>
        <color theme="5"/>
        <rFont val="Arial"/>
        <family val="2"/>
      </rPr>
      <t>##</t>
    </r>
    <r>
      <rPr>
        <sz val="8"/>
        <color theme="5"/>
        <rFont val="Arial"/>
        <family val="2"/>
      </rPr>
      <t xml:space="preserve"> Art. 238 Abs. 2 AEUV bestimmt: "Beschließt der Rat nicht auf Vorschlag der Kommission oder des Hohen Vertreters der Union für Außen- und Sicherheitspolitik […]"</t>
    </r>
  </si>
  <si>
    <t>Möchten Sie die Abstimmung nach einem anderen Abstimmungsverfahren durchführen? (Ihre Eintragung des Stimmverhaltens bleibt erhalten)</t>
  </si>
  <si>
    <r>
      <rPr>
        <vertAlign val="superscript"/>
        <sz val="10"/>
        <rFont val="Arial"/>
        <family val="2"/>
      </rPr>
      <t>3</t>
    </r>
    <r>
      <rPr>
        <sz val="10"/>
        <rFont val="Arial"/>
        <family val="2"/>
      </rPr>
      <t xml:space="preserve"> Das Bevölkerungskriterium wird gemäß Art. 3 Absatz 3 UAbs. 4 des Protokolls über die Übergangsbestimmungen nur auf Antrag überprüft. Die Zahlen ergeben sich aus Art. 1 des Anhangs III der Geschäftsordnung des Rates in der jeweils aktuellen Fassung.</t>
    </r>
  </si>
  <si>
    <r>
      <rPr>
        <vertAlign val="superscript"/>
        <sz val="10"/>
        <rFont val="Arial"/>
        <family val="2"/>
      </rPr>
      <t xml:space="preserve">3 </t>
    </r>
    <r>
      <rPr>
        <sz val="10"/>
        <rFont val="Arial"/>
        <family val="2"/>
      </rPr>
      <t xml:space="preserve"> Die Zahlen ergeben sich aus Art. 1 des Anhangs III der Geschäftsordnung des Rates in der jeweils aktuellen Fassung.</t>
    </r>
  </si>
  <si>
    <t>x</t>
  </si>
  <si>
    <t>Summe MS / Summe J</t>
  </si>
  <si>
    <t>Abstimmung ab 01.11.</t>
  </si>
  <si>
    <t>Stimmenzahl JA abhängig von Beteiligung</t>
  </si>
  <si>
    <t>Berechnung der Stimmen nach Beteiligung</t>
  </si>
  <si>
    <t>Stimmenzahl NEIN abhängig von Beteiligung</t>
  </si>
  <si>
    <t>Enthaltungen nach Beteiligung</t>
  </si>
  <si>
    <t>Sperrminorität erfüllt?</t>
  </si>
  <si>
    <t xml:space="preserve">[Erläuterung: Diese Spalte berechnet dann, wenn weniger als 28 MS an der Abstimmung teilnehmen, ob die Sperrminorität erfüllt ist (Ms, die 35 % der abstimmenden Bevölkerung ausmachen, zzgl. 1 MS). Oben wird der kleinste MS eingetragen, der teilnimmt, aber nicht mit JA gestimmt hat; anschließend wird geprüft, ob die nicht-zustimmende Bevölkerung, abzüglich der Bevölkerung dieses kleinsten MS noch immer mehr als 35 % der insgesamt beteiligten Bevölkerung ausmacht; dann ist die Sperrminorität erfüllt, sonst nicht) </t>
  </si>
  <si>
    <t>Bevölkerung NEIN für Ioannina</t>
  </si>
  <si>
    <t>Sperrminorität bei weniger als 28 MS</t>
  </si>
  <si>
    <r>
      <t>MS darf an Abstimmung teilnehmen? (X, wenn der MS teilnimmt)</t>
    </r>
    <r>
      <rPr>
        <vertAlign val="superscript"/>
        <sz val="10"/>
        <color rgb="FF0000FF"/>
        <rFont val="Arial"/>
        <family val="2"/>
      </rPr>
      <t>5</t>
    </r>
  </si>
  <si>
    <r>
      <rPr>
        <vertAlign val="superscript"/>
        <sz val="10"/>
        <rFont val="Arial"/>
        <family val="2"/>
      </rPr>
      <t>5</t>
    </r>
    <r>
      <rPr>
        <sz val="10"/>
        <rFont val="Arial"/>
        <family val="2"/>
      </rPr>
      <t xml:space="preserve"> Gemeint sind Situationen nach Art. 238 Abs. 3 AEUV, in denen die Verträge die Mitwirkung von einigen Mitgliedstaaten ausschließen; das gilt insbesondere für Abstimmungen der Eurogruppe nach Art. 136 Abs. 1, 140 bs. 2 AEUV.</t>
    </r>
  </si>
  <si>
    <r>
      <rPr>
        <sz val="8"/>
        <color rgb="FF00B050"/>
        <rFont val="Arial"/>
        <family val="2"/>
      </rPr>
      <t>MS darf an Abstimmung teilnehmen? (X, wenn der MS teilnimmt)</t>
    </r>
    <r>
      <rPr>
        <vertAlign val="superscript"/>
        <sz val="10"/>
        <color rgb="FF00B050"/>
        <rFont val="Arial"/>
        <family val="2"/>
      </rPr>
      <t>5</t>
    </r>
  </si>
  <si>
    <t>Summe teilnehmend / J</t>
  </si>
  <si>
    <r>
      <rPr>
        <vertAlign val="superscript"/>
        <sz val="10"/>
        <rFont val="Arial"/>
        <family val="2"/>
      </rPr>
      <t xml:space="preserve">2 </t>
    </r>
    <r>
      <rPr>
        <sz val="10"/>
        <rFont val="Arial"/>
        <family val="2"/>
      </rPr>
      <t>Die Stimmenzahlen und Mehrheitserfordernisse ergeben sich aus Art. 3 Abs. 3 ÜbBestProt in der Fassung, die er durch Art. 20 des Vertrages über den Beitritt Kroatiens, ABl. L112 v. 24.04.2012, S. 6, erhalten hat. Soweit nicht alle Mitgliedstaaten teilnehmen, wird die benötigte Mehrheit proportional zur Anzahl der abstimmenden Stimmen reduziert.</t>
    </r>
  </si>
  <si>
    <t>Die Tabellen in Spalten B-G werden in der aktuellen Fassung des Mehrheitsrechners nicht mehr benötigt; bitte die Spalten nicht entfernen, ohne die Formeln anzupassen, weil anderenfalls die Bezüge verloren gehen. [Mit Bitte um Entschuldigung für die unsaubere Programmierung.]</t>
  </si>
  <si>
    <r>
      <t xml:space="preserve">5 </t>
    </r>
    <r>
      <rPr>
        <sz val="10"/>
        <rFont val="Arial"/>
        <family val="2"/>
      </rPr>
      <t>Bitte beachten Sie, dass Abstimmungen der Euro-Gruppe nach Art. 163 Abs. 2 Uabs. 2 AEUV und Art. 140 Abs. 2 Uabs. 3 AEUV die Mitglieder der Eurogruppe nach den Mehrheiten des Art. 238 Abs. 3 lit. a AEUV entscheiden; diese werden im Mehrheitsrechner "Normal" abgebildet. Die Auswahl der Eurogruppe entfällt daher in dieser Option.</t>
    </r>
  </si>
  <si>
    <r>
      <t>Qualifizierte Mehrheit nach Art. 238 Abs. 2 AEUV ab 1.11.2014</t>
    </r>
    <r>
      <rPr>
        <b/>
        <vertAlign val="superscript"/>
        <sz val="14"/>
        <color theme="5"/>
        <rFont val="Arial"/>
        <family val="2"/>
      </rPr>
      <t>1</t>
    </r>
  </si>
  <si>
    <r>
      <t>MS darf an Abstimmung teilnehmen? (X, wenn der MS teilnimmt)</t>
    </r>
    <r>
      <rPr>
        <vertAlign val="superscript"/>
        <sz val="10"/>
        <color theme="5"/>
        <rFont val="Arial"/>
        <family val="2"/>
      </rPr>
      <t>6</t>
    </r>
  </si>
  <si>
    <t>Summe Teilnehmende MS /  J</t>
  </si>
  <si>
    <t>Abstimmung nach Art 238 II</t>
  </si>
  <si>
    <t>Abstimmung nach Art 3 II ÜberBestProt</t>
  </si>
  <si>
    <r>
      <rPr>
        <vertAlign val="superscript"/>
        <sz val="10"/>
        <rFont val="Arial"/>
        <family val="2"/>
      </rPr>
      <t>3</t>
    </r>
    <r>
      <rPr>
        <sz val="10"/>
        <rFont val="Arial"/>
        <family val="2"/>
      </rPr>
      <t xml:space="preserve"> Die Zahlen ergeben sich aus Art. 1 des Anhangs III der Geschäftsordnung des Rates in der jeweils aktuellen Fassung.</t>
    </r>
  </si>
  <si>
    <t>[Diese Spalte ist aktuell ohne Funktion]</t>
  </si>
  <si>
    <r>
      <t xml:space="preserve">6 </t>
    </r>
    <r>
      <rPr>
        <sz val="10"/>
        <rFont val="Arial"/>
        <family val="2"/>
      </rPr>
      <t>Die Verträge schließen u.U. die Beteiligung von einigen Mitgliedstaaten aus, dann richtet sich die Abstimmung nach Art. 238 Abs. 3 AEUV.</t>
    </r>
  </si>
  <si>
    <t>Infolge der Ablehnung durch 15,4% der Mitgliedstaaten?</t>
  </si>
  <si>
    <t>Infolge der Ablehnung durch 19,25% der Bevölkerung?</t>
  </si>
  <si>
    <t>Infolge der Ablehnung durch 24,75% der Mitgliedstaaten?</t>
  </si>
  <si>
    <r>
      <rPr>
        <vertAlign val="superscript"/>
        <sz val="10"/>
        <rFont val="Arial"/>
        <family val="2"/>
      </rPr>
      <t>4</t>
    </r>
    <r>
      <rPr>
        <sz val="10"/>
        <rFont val="Arial"/>
        <family val="2"/>
      </rPr>
      <t xml:space="preserve"> Wird das Bevölkerungskriterium verfehlt, weil weniger als vier Mitgliedstaaten widersprechen, die dennoch über 28 % der Bevölkerung auf sich vereinen, ist die nötige Sperrminorität von vier Mitgliedstaaten nicht erreicht und das Bevölkerungskriterium für die Annahme des Rechtsaktes gilt trotzdem als erfüllt. 
Allerdings ist der Verweis zwischen Art. 238 Abs. 2 AEUV und Art. 16 Abs. 4 EUV unklar formuliert, so dass erst in der Praxis geklärt werden muss, ob die besondere Regelung zur Sperrminorität nach Art. 16 Abs. 4 UAbs. 2 EUV bei diesem Abstimmungsverfahren tatsächlich zur Anwendung kommt. Sollte deren Anwendung im Einzelfall entscheidungserheblich sein, halten Sie bitte mit dem Referat EA4 Rücksprache zum weiteren Vorgehen.
Bei Abstimmungen, an denen nicht alle Mitgliedstaaten teilnehmen, gilt nach Art. 238 Abs. 3 lit. b AEUV keine Sonderregelung zur Sperrminorität.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</si>
</sst>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1" x14ac:knownFonts="1">
    <font>
      <sz val="10"/>
      <name val="Arial"/>
      <family val="2"/>
    </font>
    <font>
      <b/>
      <sz val="10"/>
      <name val="Arial"/>
      <family val="2"/>
    </font>
    <font>
      <sz val="11"/>
      <name val="Arial"/>
      <family val="2"/>
    </font>
    <font>
      <b/>
      <sz val="14"/>
      <color rgb="FF0000FF"/>
      <name val="Arial"/>
      <family val="2"/>
    </font>
    <font>
      <b/>
      <sz val="11"/>
      <color rgb="FF0000FF"/>
      <name val="Arial"/>
      <family val="2"/>
    </font>
    <font>
      <b/>
      <sz val="10"/>
      <color rgb="FF0000FF"/>
      <name val="Arial"/>
      <family val="2"/>
    </font>
    <font>
      <sz val="9"/>
      <name val="Arial"/>
      <family val="2"/>
    </font>
    <font>
      <i/>
      <sz val="9"/>
      <name val="Arial"/>
      <family val="2"/>
    </font>
    <font>
      <b/>
      <sz val="10"/>
      <color rgb="FFFF0000"/>
      <name val="Arial"/>
      <family val="2"/>
    </font>
    <font>
      <i/>
      <sz val="10"/>
      <name val="Arial"/>
      <family val="2"/>
    </font>
    <font>
      <b/>
      <i/>
      <sz val="10"/>
      <color rgb="FF0000FF"/>
      <name val="Arial"/>
      <family val="2"/>
    </font>
    <font>
      <sz val="12"/>
      <name val="Arial"/>
      <family val="2"/>
    </font>
    <font>
      <b/>
      <sz val="12"/>
      <color rgb="FF0000FF"/>
      <name val="Arial"/>
      <family val="2"/>
    </font>
    <font>
      <b/>
      <sz val="14"/>
      <color rgb="FFFF0000"/>
      <name val="Arial"/>
      <family val="2"/>
    </font>
    <font>
      <i/>
      <sz val="10"/>
      <color rgb="FF0000FF"/>
      <name val="Arial"/>
      <family val="2"/>
    </font>
    <font>
      <sz val="10"/>
      <color rgb="FF0000FF"/>
      <name val="Arial"/>
      <family val="2"/>
    </font>
    <font>
      <b/>
      <sz val="12"/>
      <color rgb="FFFF0000"/>
      <name val="Arial"/>
      <family val="2"/>
    </font>
    <font>
      <b/>
      <sz val="16"/>
      <color rgb="FFFF0000"/>
      <name val="Arial"/>
      <family val="2"/>
    </font>
    <font>
      <b/>
      <sz val="16"/>
      <color rgb="FFFF0000"/>
      <name val="Arial"/>
      <family val="2"/>
      <charset val="1"/>
    </font>
    <font>
      <sz val="10"/>
      <name val="Arial"/>
      <family val="2"/>
    </font>
    <font>
      <b/>
      <sz val="12"/>
      <color theme="9"/>
      <name val="Arial"/>
      <family val="2"/>
    </font>
    <font>
      <b/>
      <sz val="14"/>
      <color theme="9"/>
      <name val="Arial"/>
      <family val="2"/>
    </font>
    <font>
      <b/>
      <sz val="12"/>
      <name val="Arial"/>
      <family val="2"/>
    </font>
    <font>
      <b/>
      <sz val="12"/>
      <color rgb="FF00B050"/>
      <name val="Arial"/>
      <family val="2"/>
    </font>
    <font>
      <b/>
      <vertAlign val="superscript"/>
      <sz val="12"/>
      <color rgb="FF00B050"/>
      <name val="Arial"/>
      <family val="2"/>
    </font>
    <font>
      <sz val="10"/>
      <color rgb="FF00B050"/>
      <name val="Arial"/>
      <family val="2"/>
    </font>
    <font>
      <vertAlign val="superscript"/>
      <sz val="10"/>
      <color rgb="FF00B050"/>
      <name val="Arial"/>
      <family val="2"/>
    </font>
    <font>
      <b/>
      <sz val="11"/>
      <color indexed="12"/>
      <name val="Arial"/>
      <family val="2"/>
    </font>
    <font>
      <b/>
      <sz val="10"/>
      <color indexed="12"/>
      <name val="Arial"/>
      <family val="2"/>
    </font>
    <font>
      <b/>
      <i/>
      <sz val="10"/>
      <color indexed="12"/>
      <name val="Arial"/>
      <family val="2"/>
    </font>
    <font>
      <b/>
      <sz val="12"/>
      <color indexed="12"/>
      <name val="Arial"/>
      <family val="2"/>
    </font>
    <font>
      <b/>
      <sz val="14"/>
      <color indexed="10"/>
      <name val="Arial"/>
      <family val="2"/>
    </font>
    <font>
      <b/>
      <sz val="14"/>
      <color rgb="FF00B050"/>
      <name val="Arial"/>
      <family val="2"/>
    </font>
    <font>
      <b/>
      <sz val="10"/>
      <color rgb="FF00B050"/>
      <name val="Arial"/>
      <family val="2"/>
    </font>
    <font>
      <b/>
      <i/>
      <sz val="9"/>
      <color rgb="FF00B050"/>
      <name val="Arial"/>
      <family val="2"/>
    </font>
    <font>
      <b/>
      <i/>
      <sz val="10"/>
      <color rgb="FF00B050"/>
      <name val="Arial"/>
      <family val="2"/>
    </font>
    <font>
      <i/>
      <sz val="10"/>
      <color rgb="FF00B050"/>
      <name val="Arial"/>
      <family val="2"/>
    </font>
    <font>
      <sz val="14"/>
      <name val="Arial"/>
      <family val="2"/>
    </font>
    <font>
      <sz val="14"/>
      <color rgb="FF00B050"/>
      <name val="Arial"/>
      <family val="2"/>
    </font>
    <font>
      <b/>
      <sz val="9"/>
      <color rgb="FFFF0000"/>
      <name val="Arial"/>
      <family val="2"/>
    </font>
    <font>
      <b/>
      <i/>
      <sz val="9"/>
      <color rgb="FF0000FF"/>
      <name val="Arial"/>
      <family val="2"/>
    </font>
    <font>
      <sz val="9"/>
      <color rgb="FF0000FF"/>
      <name val="Arial"/>
      <family val="2"/>
    </font>
    <font>
      <b/>
      <sz val="11"/>
      <color rgb="FF00B050"/>
      <name val="Arial"/>
      <family val="2"/>
    </font>
    <font>
      <b/>
      <sz val="10"/>
      <color theme="5"/>
      <name val="Arial"/>
      <family val="2"/>
    </font>
    <font>
      <b/>
      <sz val="14"/>
      <color theme="5"/>
      <name val="Arial"/>
      <family val="2"/>
    </font>
    <font>
      <b/>
      <i/>
      <sz val="10"/>
      <color theme="5"/>
      <name val="Arial"/>
      <family val="2"/>
    </font>
    <font>
      <b/>
      <sz val="12"/>
      <color theme="5"/>
      <name val="Arial"/>
      <family val="2"/>
    </font>
    <font>
      <sz val="10"/>
      <color theme="5"/>
      <name val="Arial"/>
      <family val="2"/>
    </font>
    <font>
      <sz val="9"/>
      <color theme="5"/>
      <name val="Arial"/>
      <family val="2"/>
    </font>
    <font>
      <i/>
      <sz val="10"/>
      <color theme="5"/>
      <name val="Arial"/>
      <family val="2"/>
    </font>
    <font>
      <vertAlign val="superscript"/>
      <sz val="10"/>
      <color theme="5"/>
      <name val="Arial"/>
      <family val="2"/>
    </font>
    <font>
      <u/>
      <sz val="10"/>
      <color theme="10"/>
      <name val="Arial"/>
      <family val="2"/>
    </font>
    <font>
      <sz val="10"/>
      <color rgb="FF3333FF"/>
      <name val="Arial"/>
      <family val="2"/>
    </font>
    <font>
      <b/>
      <sz val="9"/>
      <name val="Arial"/>
      <family val="2"/>
    </font>
    <font>
      <sz val="8"/>
      <name val="Arial"/>
      <family val="2"/>
    </font>
    <font>
      <sz val="8"/>
      <color theme="5"/>
      <name val="Arial"/>
      <family val="2"/>
    </font>
    <font>
      <vertAlign val="superscript"/>
      <sz val="8"/>
      <color theme="5"/>
      <name val="Arial"/>
      <family val="2"/>
    </font>
    <font>
      <sz val="8"/>
      <color rgb="FF00B050"/>
      <name val="Arial"/>
      <family val="2"/>
    </font>
    <font>
      <b/>
      <vertAlign val="superscript"/>
      <sz val="14"/>
      <color rgb="FF0000FF"/>
      <name val="Arial"/>
      <family val="2"/>
    </font>
    <font>
      <vertAlign val="superscript"/>
      <sz val="10"/>
      <name val="Arial"/>
      <family val="2"/>
    </font>
    <font>
      <b/>
      <i/>
      <vertAlign val="superscript"/>
      <sz val="10"/>
      <color rgb="FF0000FF"/>
      <name val="Arial"/>
      <family val="2"/>
    </font>
    <font>
      <b/>
      <vertAlign val="superscript"/>
      <sz val="12"/>
      <color rgb="FF0000FF"/>
      <name val="Arial"/>
      <family val="2"/>
    </font>
    <font>
      <b/>
      <vertAlign val="superscript"/>
      <sz val="14"/>
      <color rgb="FF00B050"/>
      <name val="Arial"/>
      <family val="2"/>
    </font>
    <font>
      <b/>
      <i/>
      <vertAlign val="superscript"/>
      <sz val="10"/>
      <color rgb="FF00B050"/>
      <name val="Arial"/>
      <family val="2"/>
    </font>
    <font>
      <b/>
      <i/>
      <vertAlign val="superscript"/>
      <sz val="10"/>
      <color theme="5"/>
      <name val="Arial"/>
      <family val="2"/>
    </font>
    <font>
      <b/>
      <vertAlign val="superscript"/>
      <sz val="12"/>
      <color theme="5"/>
      <name val="Arial"/>
      <family val="2"/>
    </font>
    <font>
      <b/>
      <sz val="10"/>
      <color theme="1"/>
      <name val="Arial"/>
      <family val="2"/>
    </font>
    <font>
      <sz val="10"/>
      <color theme="1"/>
      <name val="Arial"/>
      <family val="2"/>
    </font>
    <font>
      <sz val="8"/>
      <color rgb="FF0000FF"/>
      <name val="Arial"/>
      <family val="2"/>
    </font>
    <font>
      <vertAlign val="superscript"/>
      <sz val="10"/>
      <color rgb="FF0000FF"/>
      <name val="Arial"/>
      <family val="2"/>
    </font>
    <font>
      <b/>
      <vertAlign val="superscript"/>
      <sz val="14"/>
      <color theme="5"/>
      <name val="Arial"/>
      <family val="2"/>
    </font>
  </fonts>
  <fills count="14">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rgb="FF969696"/>
        <bgColor rgb="FF808080"/>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rgb="FFFFFFCC"/>
      </patternFill>
    </fill>
    <fill>
      <patternFill patternType="solid">
        <fgColor theme="1" tint="0.499984740745262"/>
        <bgColor indexed="64"/>
      </patternFill>
    </fill>
    <fill>
      <patternFill patternType="solid">
        <fgColor theme="0"/>
        <bgColor rgb="FFCCCCFF"/>
      </patternFill>
    </fill>
    <fill>
      <patternFill patternType="solid">
        <fgColor theme="0"/>
        <bgColor rgb="FF808080"/>
      </patternFill>
    </fill>
    <fill>
      <patternFill patternType="solid">
        <fgColor theme="0" tint="-0.499984740745262"/>
        <bgColor indexed="64"/>
      </patternFill>
    </fill>
    <fill>
      <patternFill patternType="solid">
        <fgColor theme="0" tint="-0.499984740745262"/>
        <bgColor rgb="FF808080"/>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thin">
        <color auto="1"/>
      </top>
      <bottom style="thin">
        <color auto="1"/>
      </bottom>
      <diagonal/>
    </border>
  </borders>
  <cellStyleXfs count="2">
    <xf numFmtId="0" fontId="0" fillId="0" borderId="0"/>
    <xf numFmtId="0" fontId="51" fillId="0" borderId="0" applyNumberFormat="0" applyFill="0" applyBorder="0" applyAlignment="0" applyProtection="0"/>
  </cellStyleXfs>
  <cellXfs count="313">
    <xf numFmtId="0" fontId="0" fillId="0" borderId="0" xfId="0"/>
    <xf numFmtId="0" fontId="1" fillId="2" borderId="1" xfId="0" applyFont="1" applyFill="1" applyBorder="1"/>
    <xf numFmtId="0" fontId="8" fillId="2" borderId="1" xfId="0" applyFont="1" applyFill="1" applyBorder="1" applyAlignment="1" applyProtection="1">
      <alignment horizontal="center"/>
      <protection locked="0"/>
    </xf>
    <xf numFmtId="0" fontId="1" fillId="0" borderId="1" xfId="0" applyFont="1" applyBorder="1"/>
    <xf numFmtId="0" fontId="8" fillId="0" borderId="1" xfId="0" applyFont="1" applyBorder="1" applyAlignment="1" applyProtection="1">
      <alignment horizontal="center"/>
      <protection locked="0"/>
    </xf>
    <xf numFmtId="3" fontId="0" fillId="0" borderId="1" xfId="0" applyNumberFormat="1" applyFont="1" applyBorder="1" applyAlignment="1">
      <alignment horizontal="right"/>
    </xf>
    <xf numFmtId="0" fontId="1" fillId="3" borderId="1" xfId="0" applyFont="1" applyFill="1" applyBorder="1"/>
    <xf numFmtId="0" fontId="8" fillId="3" borderId="1" xfId="0" applyFont="1" applyFill="1" applyBorder="1" applyAlignment="1" applyProtection="1">
      <alignment horizontal="center"/>
      <protection locked="0"/>
    </xf>
    <xf numFmtId="0" fontId="1" fillId="4" borderId="1" xfId="0" applyFont="1" applyFill="1" applyBorder="1"/>
    <xf numFmtId="0" fontId="8" fillId="4" borderId="1" xfId="0" applyFont="1" applyFill="1" applyBorder="1" applyAlignment="1" applyProtection="1">
      <alignment horizontal="center"/>
      <protection locked="0"/>
    </xf>
    <xf numFmtId="0" fontId="13" fillId="0" borderId="4" xfId="0" applyFont="1" applyBorder="1" applyAlignment="1" applyProtection="1">
      <alignment horizontal="center"/>
    </xf>
    <xf numFmtId="3" fontId="0" fillId="0" borderId="0" xfId="0" applyNumberFormat="1"/>
    <xf numFmtId="0" fontId="1" fillId="0" borderId="0" xfId="0" applyFont="1" applyBorder="1" applyProtection="1"/>
    <xf numFmtId="0" fontId="0" fillId="0" borderId="0" xfId="0" applyBorder="1" applyProtection="1"/>
    <xf numFmtId="0" fontId="0" fillId="0" borderId="0" xfId="0" applyBorder="1" applyAlignment="1" applyProtection="1">
      <alignment horizontal="center"/>
    </xf>
    <xf numFmtId="0" fontId="2" fillId="0" borderId="0" xfId="0" applyFont="1" applyBorder="1" applyProtection="1"/>
    <xf numFmtId="0" fontId="4" fillId="0" borderId="0" xfId="0" applyFont="1" applyBorder="1" applyProtection="1"/>
    <xf numFmtId="0" fontId="2" fillId="0" borderId="0" xfId="0" applyFont="1" applyBorder="1" applyAlignment="1" applyProtection="1">
      <alignment horizontal="center"/>
    </xf>
    <xf numFmtId="0" fontId="5" fillId="0" borderId="1" xfId="0" applyFont="1" applyBorder="1" applyAlignment="1" applyProtection="1">
      <alignment horizontal="center" vertical="top" wrapText="1"/>
    </xf>
    <xf numFmtId="0" fontId="0" fillId="0" borderId="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1" fillId="0" borderId="1" xfId="0" applyFont="1" applyBorder="1" applyProtection="1"/>
    <xf numFmtId="0" fontId="1" fillId="2" borderId="1" xfId="0" applyFont="1" applyFill="1" applyBorder="1" applyProtection="1"/>
    <xf numFmtId="0" fontId="1" fillId="3" borderId="1" xfId="0" applyFont="1" applyFill="1" applyBorder="1" applyProtection="1"/>
    <xf numFmtId="0" fontId="1" fillId="4" borderId="1" xfId="0" applyFont="1" applyFill="1" applyBorder="1" applyProtection="1"/>
    <xf numFmtId="0" fontId="0" fillId="0" borderId="3" xfId="0" applyBorder="1" applyProtection="1"/>
    <xf numFmtId="0" fontId="12" fillId="0" borderId="4" xfId="0" applyFont="1" applyBorder="1" applyAlignment="1" applyProtection="1"/>
    <xf numFmtId="0" fontId="5" fillId="0" borderId="0" xfId="0" applyFont="1" applyBorder="1" applyProtection="1"/>
    <xf numFmtId="0" fontId="10" fillId="0" borderId="0" xfId="0" applyFont="1" applyBorder="1" applyProtection="1"/>
    <xf numFmtId="0" fontId="0" fillId="0" borderId="0" xfId="0" applyFont="1" applyBorder="1" applyProtection="1"/>
    <xf numFmtId="0" fontId="12" fillId="0" borderId="0" xfId="0" applyFont="1" applyBorder="1" applyAlignment="1" applyProtection="1"/>
    <xf numFmtId="0" fontId="12" fillId="0" borderId="4" xfId="0" applyFont="1" applyBorder="1" applyProtection="1"/>
    <xf numFmtId="0" fontId="12" fillId="0" borderId="6" xfId="0" applyFont="1" applyBorder="1" applyAlignment="1" applyProtection="1"/>
    <xf numFmtId="0" fontId="0" fillId="0" borderId="6" xfId="0" applyBorder="1" applyProtection="1"/>
    <xf numFmtId="49" fontId="23" fillId="0" borderId="0" xfId="0" applyNumberFormat="1" applyFont="1" applyBorder="1" applyAlignment="1" applyProtection="1">
      <alignment wrapText="1"/>
    </xf>
    <xf numFmtId="0" fontId="31" fillId="0" borderId="4" xfId="0" applyFont="1" applyBorder="1" applyAlignment="1" applyProtection="1">
      <alignment horizontal="center"/>
    </xf>
    <xf numFmtId="0" fontId="23" fillId="0" borderId="4" xfId="0" applyFont="1" applyBorder="1" applyProtection="1"/>
    <xf numFmtId="0" fontId="25" fillId="0" borderId="0" xfId="0" applyFont="1" applyBorder="1" applyProtection="1"/>
    <xf numFmtId="0" fontId="0" fillId="0" borderId="0" xfId="0" applyAlignment="1">
      <alignment wrapText="1"/>
    </xf>
    <xf numFmtId="0" fontId="5" fillId="3" borderId="2" xfId="0" applyFont="1" applyFill="1" applyBorder="1" applyAlignment="1" applyProtection="1">
      <alignment horizontal="right"/>
    </xf>
    <xf numFmtId="0" fontId="22" fillId="5" borderId="17" xfId="0" applyFont="1" applyFill="1" applyBorder="1" applyAlignment="1" applyProtection="1">
      <alignment vertical="top"/>
    </xf>
    <xf numFmtId="0" fontId="0" fillId="0" borderId="0" xfId="0" applyProtection="1"/>
    <xf numFmtId="0" fontId="0" fillId="0" borderId="0" xfId="0" applyBorder="1" applyAlignment="1" applyProtection="1">
      <alignment horizontal="center" vertical="top" wrapText="1"/>
    </xf>
    <xf numFmtId="0" fontId="7" fillId="0" borderId="0" xfId="0" applyFont="1" applyBorder="1" applyAlignment="1" applyProtection="1">
      <alignment horizontal="center" vertical="top" wrapText="1"/>
    </xf>
    <xf numFmtId="164" fontId="5" fillId="0" borderId="0" xfId="0" applyNumberFormat="1" applyFont="1" applyBorder="1" applyAlignment="1" applyProtection="1">
      <alignment horizontal="center" vertical="top" wrapText="1"/>
    </xf>
    <xf numFmtId="164" fontId="7" fillId="0" borderId="0" xfId="0" applyNumberFormat="1" applyFont="1" applyBorder="1" applyAlignment="1" applyProtection="1">
      <alignment horizontal="right" vertical="top" wrapText="1"/>
    </xf>
    <xf numFmtId="3" fontId="0" fillId="0" borderId="1" xfId="0" applyNumberFormat="1" applyFont="1" applyBorder="1" applyProtection="1"/>
    <xf numFmtId="3" fontId="0" fillId="0" borderId="1" xfId="0" applyNumberFormat="1" applyFont="1" applyBorder="1" applyAlignment="1" applyProtection="1">
      <alignment horizontal="right"/>
    </xf>
    <xf numFmtId="0" fontId="0" fillId="0" borderId="0" xfId="0" applyFont="1" applyBorder="1" applyAlignment="1" applyProtection="1">
      <alignment horizontal="center"/>
    </xf>
    <xf numFmtId="3" fontId="0" fillId="0" borderId="0" xfId="0" applyNumberFormat="1" applyFont="1" applyBorder="1" applyProtection="1"/>
    <xf numFmtId="3" fontId="9" fillId="0" borderId="0" xfId="0" applyNumberFormat="1" applyFont="1" applyBorder="1" applyProtection="1"/>
    <xf numFmtId="3" fontId="0" fillId="0" borderId="0" xfId="0" applyNumberFormat="1" applyBorder="1" applyProtection="1"/>
    <xf numFmtId="3" fontId="0" fillId="3" borderId="1" xfId="0" applyNumberFormat="1" applyFont="1" applyFill="1" applyBorder="1" applyAlignment="1" applyProtection="1">
      <alignment horizontal="right"/>
    </xf>
    <xf numFmtId="0" fontId="10" fillId="3" borderId="1" xfId="0" applyFont="1" applyFill="1" applyBorder="1" applyAlignment="1" applyProtection="1">
      <alignment horizontal="center"/>
    </xf>
    <xf numFmtId="3" fontId="10" fillId="3" borderId="1" xfId="0" applyNumberFormat="1" applyFont="1" applyFill="1" applyBorder="1" applyProtection="1"/>
    <xf numFmtId="0" fontId="10" fillId="0" borderId="0" xfId="0" applyFont="1" applyBorder="1" applyAlignment="1" applyProtection="1">
      <alignment horizontal="center"/>
    </xf>
    <xf numFmtId="3" fontId="10" fillId="0" borderId="0" xfId="0" applyNumberFormat="1" applyFont="1" applyBorder="1" applyProtection="1"/>
    <xf numFmtId="0" fontId="11" fillId="0" borderId="0" xfId="0" applyFont="1" applyBorder="1" applyProtection="1"/>
    <xf numFmtId="3" fontId="1" fillId="0" borderId="0" xfId="0" applyNumberFormat="1" applyFont="1" applyBorder="1" applyAlignment="1" applyProtection="1">
      <alignment horizontal="center"/>
    </xf>
    <xf numFmtId="0" fontId="13" fillId="0" borderId="0" xfId="0" applyFont="1" applyBorder="1" applyAlignment="1" applyProtection="1">
      <alignment horizontal="center"/>
    </xf>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14" fillId="0" borderId="1" xfId="0" applyFont="1" applyBorder="1" applyAlignment="1" applyProtection="1">
      <alignment horizontal="center"/>
    </xf>
    <xf numFmtId="0" fontId="15" fillId="0" borderId="0" xfId="0" applyFont="1" applyBorder="1" applyProtection="1"/>
    <xf numFmtId="0" fontId="15" fillId="0" borderId="0" xfId="0" applyFont="1" applyBorder="1" applyAlignment="1" applyProtection="1">
      <alignment horizontal="center"/>
    </xf>
    <xf numFmtId="0" fontId="12" fillId="0" borderId="0" xfId="0" applyFont="1" applyBorder="1" applyProtection="1"/>
    <xf numFmtId="164" fontId="13" fillId="0" borderId="0" xfId="0" applyNumberFormat="1" applyFont="1" applyBorder="1" applyAlignment="1" applyProtection="1">
      <alignment horizontal="center"/>
    </xf>
    <xf numFmtId="3" fontId="10" fillId="3" borderId="1" xfId="0" applyNumberFormat="1" applyFont="1" applyFill="1" applyBorder="1" applyAlignment="1" applyProtection="1">
      <alignment horizontal="center"/>
    </xf>
    <xf numFmtId="3" fontId="15" fillId="0" borderId="0" xfId="0" applyNumberFormat="1" applyFont="1" applyBorder="1" applyAlignment="1" applyProtection="1">
      <alignment horizontal="center"/>
    </xf>
    <xf numFmtId="3" fontId="14" fillId="3" borderId="1" xfId="0" applyNumberFormat="1" applyFont="1" applyFill="1" applyBorder="1" applyAlignment="1" applyProtection="1">
      <alignment horizontal="center"/>
    </xf>
    <xf numFmtId="0" fontId="14" fillId="0" borderId="4" xfId="0" applyFont="1" applyBorder="1" applyAlignment="1" applyProtection="1">
      <alignment horizontal="center"/>
    </xf>
    <xf numFmtId="0" fontId="0" fillId="0" borderId="4" xfId="0" applyFont="1" applyBorder="1" applyProtection="1"/>
    <xf numFmtId="0" fontId="14" fillId="0" borderId="0" xfId="0" applyFont="1" applyBorder="1" applyAlignment="1" applyProtection="1">
      <alignment horizontal="center"/>
    </xf>
    <xf numFmtId="0" fontId="13" fillId="0" borderId="0" xfId="0" applyFont="1" applyBorder="1" applyAlignment="1" applyProtection="1">
      <alignment horizontal="right"/>
    </xf>
    <xf numFmtId="164" fontId="0" fillId="0" borderId="0" xfId="0" applyNumberFormat="1" applyBorder="1" applyProtection="1"/>
    <xf numFmtId="164" fontId="13" fillId="0" borderId="0" xfId="0" applyNumberFormat="1" applyFont="1" applyBorder="1" applyAlignment="1" applyProtection="1">
      <alignment horizontal="right"/>
    </xf>
    <xf numFmtId="0" fontId="0" fillId="0" borderId="4" xfId="0" applyBorder="1" applyProtection="1"/>
    <xf numFmtId="0" fontId="0" fillId="0" borderId="4" xfId="0" applyBorder="1" applyAlignment="1" applyProtection="1">
      <alignment horizontal="center"/>
    </xf>
    <xf numFmtId="0" fontId="5" fillId="0" borderId="5" xfId="0" applyFont="1" applyBorder="1" applyAlignment="1" applyProtection="1">
      <alignment horizontal="right"/>
    </xf>
    <xf numFmtId="0" fontId="13" fillId="0" borderId="0" xfId="0" applyFont="1" applyBorder="1" applyProtection="1"/>
    <xf numFmtId="0" fontId="5" fillId="0" borderId="0" xfId="0" applyFont="1" applyBorder="1" applyAlignment="1" applyProtection="1">
      <alignment horizontal="right"/>
    </xf>
    <xf numFmtId="0" fontId="0" fillId="0" borderId="1" xfId="0" applyFont="1" applyBorder="1" applyProtection="1"/>
    <xf numFmtId="0" fontId="0" fillId="0" borderId="0" xfId="0" applyFill="1" applyBorder="1" applyProtection="1"/>
    <xf numFmtId="3" fontId="0" fillId="0" borderId="9" xfId="0" applyNumberFormat="1" applyFont="1" applyBorder="1" applyProtection="1"/>
    <xf numFmtId="0" fontId="12" fillId="0" borderId="7" xfId="0" applyFont="1" applyBorder="1" applyProtection="1"/>
    <xf numFmtId="0" fontId="0" fillId="0" borderId="7" xfId="0" applyBorder="1" applyAlignment="1" applyProtection="1">
      <alignment horizontal="center"/>
    </xf>
    <xf numFmtId="0" fontId="0" fillId="0" borderId="7" xfId="0" applyBorder="1" applyProtection="1"/>
    <xf numFmtId="0" fontId="17" fillId="0" borderId="8" xfId="0" applyFont="1" applyBorder="1" applyAlignment="1" applyProtection="1">
      <alignment horizontal="right"/>
    </xf>
    <xf numFmtId="0" fontId="18" fillId="0" borderId="8" xfId="0" applyFont="1" applyBorder="1" applyAlignment="1" applyProtection="1">
      <alignment horizontal="right"/>
    </xf>
    <xf numFmtId="0" fontId="18" fillId="0" borderId="0" xfId="0" applyFont="1" applyBorder="1" applyAlignment="1" applyProtection="1">
      <alignment horizontal="right"/>
    </xf>
    <xf numFmtId="0" fontId="12" fillId="0" borderId="18" xfId="0" applyFont="1" applyBorder="1" applyProtection="1"/>
    <xf numFmtId="0" fontId="0" fillId="0" borderId="18" xfId="0" applyBorder="1" applyAlignment="1" applyProtection="1">
      <alignment horizontal="center"/>
    </xf>
    <xf numFmtId="0" fontId="20" fillId="0" borderId="0" xfId="0" applyFont="1" applyBorder="1" applyProtection="1"/>
    <xf numFmtId="0" fontId="23" fillId="0" borderId="15" xfId="0" applyFont="1" applyBorder="1" applyProtection="1"/>
    <xf numFmtId="0" fontId="6" fillId="0" borderId="0" xfId="0" applyFont="1" applyBorder="1" applyProtection="1"/>
    <xf numFmtId="0" fontId="39" fillId="0" borderId="0" xfId="0" applyFont="1" applyBorder="1" applyAlignment="1" applyProtection="1">
      <alignment horizontal="center"/>
    </xf>
    <xf numFmtId="0" fontId="40" fillId="0" borderId="0" xfId="0" applyFont="1" applyBorder="1" applyProtection="1"/>
    <xf numFmtId="3" fontId="41" fillId="0" borderId="0" xfId="0" applyNumberFormat="1" applyFont="1" applyBorder="1" applyAlignment="1" applyProtection="1">
      <alignment horizontal="center"/>
    </xf>
    <xf numFmtId="49" fontId="42" fillId="0" borderId="22" xfId="0" applyNumberFormat="1" applyFont="1" applyBorder="1" applyAlignment="1" applyProtection="1">
      <alignment vertical="top" wrapText="1"/>
    </xf>
    <xf numFmtId="0" fontId="43" fillId="0" borderId="1" xfId="0" applyFont="1" applyBorder="1" applyAlignment="1" applyProtection="1">
      <alignment horizontal="center" vertical="top" wrapText="1"/>
    </xf>
    <xf numFmtId="0" fontId="2" fillId="0" borderId="0" xfId="0" applyFont="1" applyFill="1" applyBorder="1" applyProtection="1"/>
    <xf numFmtId="0" fontId="43" fillId="3" borderId="2" xfId="0" applyFont="1" applyFill="1" applyBorder="1" applyAlignment="1" applyProtection="1">
      <alignment horizontal="right"/>
    </xf>
    <xf numFmtId="0" fontId="46" fillId="0" borderId="4" xfId="0" applyFont="1" applyBorder="1" applyAlignment="1" applyProtection="1"/>
    <xf numFmtId="0" fontId="43" fillId="0" borderId="0" xfId="0" applyFont="1" applyBorder="1" applyProtection="1"/>
    <xf numFmtId="0" fontId="45" fillId="0" borderId="0" xfId="0" applyFont="1" applyBorder="1" applyProtection="1"/>
    <xf numFmtId="0" fontId="47" fillId="0" borderId="0" xfId="0" applyFont="1" applyBorder="1" applyProtection="1"/>
    <xf numFmtId="0" fontId="48" fillId="0" borderId="0" xfId="0" applyFont="1" applyBorder="1" applyProtection="1"/>
    <xf numFmtId="0" fontId="46" fillId="0" borderId="4" xfId="0" applyFont="1" applyBorder="1" applyProtection="1"/>
    <xf numFmtId="0" fontId="46" fillId="0" borderId="6" xfId="0" applyFont="1" applyBorder="1" applyAlignment="1" applyProtection="1"/>
    <xf numFmtId="0" fontId="47" fillId="0" borderId="6" xfId="0" applyFont="1" applyBorder="1" applyProtection="1"/>
    <xf numFmtId="0" fontId="49" fillId="0" borderId="1" xfId="0" applyFont="1" applyBorder="1" applyAlignment="1" applyProtection="1">
      <alignment horizontal="center"/>
    </xf>
    <xf numFmtId="3" fontId="45" fillId="3" borderId="1" xfId="0" applyNumberFormat="1" applyFont="1" applyFill="1" applyBorder="1" applyAlignment="1" applyProtection="1">
      <alignment horizontal="center"/>
    </xf>
    <xf numFmtId="3" fontId="49" fillId="3" borderId="1" xfId="0" applyNumberFormat="1" applyFont="1" applyFill="1" applyBorder="1" applyAlignment="1" applyProtection="1">
      <alignment horizontal="center"/>
    </xf>
    <xf numFmtId="0" fontId="44" fillId="0" borderId="0" xfId="0" applyFont="1" applyBorder="1" applyAlignment="1" applyProtection="1">
      <alignment horizontal="center"/>
    </xf>
    <xf numFmtId="0" fontId="45" fillId="3" borderId="1" xfId="0" applyFont="1" applyFill="1" applyBorder="1" applyAlignment="1" applyProtection="1">
      <alignment horizontal="center"/>
    </xf>
    <xf numFmtId="3" fontId="45" fillId="3" borderId="1" xfId="0" applyNumberFormat="1" applyFont="1" applyFill="1" applyBorder="1" applyProtection="1"/>
    <xf numFmtId="0" fontId="43" fillId="0" borderId="0" xfId="0" applyFont="1" applyBorder="1" applyAlignment="1" applyProtection="1">
      <alignment horizontal="right"/>
    </xf>
    <xf numFmtId="0" fontId="13" fillId="0" borderId="24" xfId="0" applyFont="1" applyBorder="1" applyProtection="1"/>
    <xf numFmtId="0" fontId="46" fillId="0" borderId="7" xfId="0" applyFont="1" applyBorder="1" applyProtection="1"/>
    <xf numFmtId="0" fontId="20" fillId="0" borderId="7" xfId="0" applyFont="1" applyBorder="1" applyProtection="1"/>
    <xf numFmtId="0" fontId="23" fillId="0" borderId="0" xfId="0" applyFont="1" applyBorder="1" applyProtection="1"/>
    <xf numFmtId="49" fontId="23" fillId="0" borderId="0" xfId="0" applyNumberFormat="1" applyFont="1" applyBorder="1" applyAlignment="1" applyProtection="1">
      <alignment vertical="top"/>
    </xf>
    <xf numFmtId="0" fontId="46" fillId="0" borderId="0" xfId="0" applyFont="1" applyBorder="1" applyAlignment="1" applyProtection="1"/>
    <xf numFmtId="0" fontId="43" fillId="0" borderId="0" xfId="0" applyFont="1" applyBorder="1" applyAlignment="1" applyProtection="1">
      <alignment horizontal="center"/>
    </xf>
    <xf numFmtId="0" fontId="49" fillId="0" borderId="0" xfId="0" applyFont="1" applyBorder="1" applyAlignment="1" applyProtection="1">
      <alignment horizontal="center"/>
    </xf>
    <xf numFmtId="3" fontId="45" fillId="3" borderId="0" xfId="0" applyNumberFormat="1" applyFont="1" applyFill="1" applyBorder="1" applyAlignment="1" applyProtection="1">
      <alignment horizontal="center"/>
    </xf>
    <xf numFmtId="3" fontId="49" fillId="3" borderId="0" xfId="0" applyNumberFormat="1" applyFont="1" applyFill="1" applyBorder="1" applyAlignment="1" applyProtection="1">
      <alignment horizontal="center"/>
    </xf>
    <xf numFmtId="0" fontId="31" fillId="0" borderId="11" xfId="0" applyFont="1" applyBorder="1" applyAlignment="1" applyProtection="1">
      <alignment horizontal="center"/>
    </xf>
    <xf numFmtId="0" fontId="27" fillId="0" borderId="0" xfId="0" applyFont="1" applyBorder="1" applyProtection="1"/>
    <xf numFmtId="0" fontId="33" fillId="0" borderId="1" xfId="0" applyFont="1" applyBorder="1" applyAlignment="1" applyProtection="1">
      <alignment horizontal="center" vertical="top" wrapText="1"/>
    </xf>
    <xf numFmtId="0" fontId="0" fillId="0" borderId="1" xfId="0" applyBorder="1" applyAlignment="1" applyProtection="1">
      <alignment horizontal="center" vertical="top" wrapText="1"/>
    </xf>
    <xf numFmtId="0" fontId="19" fillId="0" borderId="1" xfId="0" applyFont="1" applyBorder="1" applyAlignment="1" applyProtection="1">
      <alignment horizontal="center" vertical="top" wrapText="1"/>
    </xf>
    <xf numFmtId="0" fontId="34" fillId="0" borderId="1" xfId="0" applyFont="1" applyBorder="1" applyAlignment="1" applyProtection="1">
      <alignment horizontal="center" vertical="top" wrapText="1"/>
    </xf>
    <xf numFmtId="0" fontId="34" fillId="0" borderId="10" xfId="0" applyFont="1" applyBorder="1" applyAlignment="1" applyProtection="1">
      <alignment horizontal="right" vertical="top" wrapText="1"/>
    </xf>
    <xf numFmtId="0" fontId="34" fillId="0" borderId="0" xfId="0" applyFont="1" applyBorder="1" applyAlignment="1" applyProtection="1">
      <alignment horizontal="right" vertical="top" wrapText="1"/>
    </xf>
    <xf numFmtId="0" fontId="19" fillId="0" borderId="1" xfId="0" applyFont="1" applyBorder="1" applyAlignment="1" applyProtection="1">
      <alignment horizontal="center"/>
    </xf>
    <xf numFmtId="3" fontId="9" fillId="0" borderId="10" xfId="0" applyNumberFormat="1" applyFont="1" applyBorder="1" applyProtection="1"/>
    <xf numFmtId="3" fontId="49" fillId="0" borderId="0" xfId="0" applyNumberFormat="1" applyFont="1" applyFill="1" applyBorder="1" applyProtection="1"/>
    <xf numFmtId="0" fontId="1" fillId="6" borderId="1" xfId="0" applyFont="1" applyFill="1" applyBorder="1" applyProtection="1"/>
    <xf numFmtId="0" fontId="19" fillId="6" borderId="1" xfId="0" applyFont="1" applyFill="1" applyBorder="1" applyAlignment="1" applyProtection="1">
      <alignment horizontal="center"/>
    </xf>
    <xf numFmtId="3" fontId="9" fillId="6" borderId="10" xfId="0" applyNumberFormat="1" applyFont="1" applyFill="1" applyBorder="1" applyProtection="1"/>
    <xf numFmtId="0" fontId="1" fillId="0" borderId="1" xfId="0" applyFont="1" applyFill="1" applyBorder="1" applyProtection="1"/>
    <xf numFmtId="0" fontId="19" fillId="0" borderId="1" xfId="0" applyFont="1" applyFill="1" applyBorder="1" applyAlignment="1" applyProtection="1">
      <alignment horizontal="center"/>
    </xf>
    <xf numFmtId="3" fontId="9" fillId="0" borderId="10" xfId="0" applyNumberFormat="1" applyFont="1" applyFill="1" applyBorder="1" applyProtection="1"/>
    <xf numFmtId="0" fontId="1" fillId="5" borderId="1" xfId="0" applyFont="1" applyFill="1" applyBorder="1" applyProtection="1"/>
    <xf numFmtId="0" fontId="19" fillId="5" borderId="1" xfId="0" applyFont="1" applyFill="1" applyBorder="1" applyAlignment="1" applyProtection="1">
      <alignment horizontal="center"/>
    </xf>
    <xf numFmtId="3" fontId="19" fillId="5" borderId="1" xfId="0" applyNumberFormat="1" applyFont="1" applyFill="1" applyBorder="1" applyProtection="1"/>
    <xf numFmtId="3" fontId="9" fillId="5" borderId="10" xfId="0" applyNumberFormat="1" applyFont="1" applyFill="1" applyBorder="1" applyProtection="1"/>
    <xf numFmtId="0" fontId="19" fillId="7" borderId="1" xfId="0" applyFont="1" applyFill="1" applyBorder="1" applyAlignment="1" applyProtection="1">
      <alignment horizontal="center"/>
    </xf>
    <xf numFmtId="0" fontId="35" fillId="5" borderId="1" xfId="0" applyFont="1" applyFill="1" applyBorder="1" applyAlignment="1" applyProtection="1">
      <alignment horizontal="center"/>
    </xf>
    <xf numFmtId="3" fontId="35" fillId="5" borderId="10" xfId="0" applyNumberFormat="1" applyFont="1" applyFill="1" applyBorder="1" applyProtection="1"/>
    <xf numFmtId="3" fontId="45" fillId="0" borderId="0" xfId="0" applyNumberFormat="1" applyFont="1" applyFill="1" applyBorder="1" applyProtection="1"/>
    <xf numFmtId="0" fontId="23" fillId="0" borderId="16" xfId="0" applyFont="1" applyBorder="1" applyAlignment="1" applyProtection="1">
      <alignment horizontal="left" vertical="top" wrapText="1"/>
    </xf>
    <xf numFmtId="0" fontId="23" fillId="0" borderId="4" xfId="0" applyFont="1" applyBorder="1" applyAlignment="1" applyProtection="1"/>
    <xf numFmtId="49" fontId="11" fillId="0" borderId="0" xfId="0" applyNumberFormat="1" applyFont="1" applyBorder="1" applyProtection="1"/>
    <xf numFmtId="0" fontId="33" fillId="0" borderId="0" xfId="0" applyFont="1" applyBorder="1" applyProtection="1"/>
    <xf numFmtId="0" fontId="33" fillId="0" borderId="0" xfId="0" applyFont="1" applyBorder="1" applyAlignment="1" applyProtection="1">
      <alignment horizontal="center"/>
    </xf>
    <xf numFmtId="0" fontId="33" fillId="0" borderId="12" xfId="0" applyFont="1" applyBorder="1" applyAlignment="1" applyProtection="1">
      <alignment horizontal="center"/>
    </xf>
    <xf numFmtId="0" fontId="35" fillId="0" borderId="0" xfId="0" applyFont="1" applyBorder="1" applyProtection="1"/>
    <xf numFmtId="0" fontId="36" fillId="0" borderId="0" xfId="0" applyFont="1" applyBorder="1" applyAlignment="1" applyProtection="1">
      <alignment horizontal="center"/>
    </xf>
    <xf numFmtId="0" fontId="19" fillId="0" borderId="0" xfId="0" applyFont="1" applyBorder="1" applyProtection="1"/>
    <xf numFmtId="49" fontId="25" fillId="0" borderId="0" xfId="0" applyNumberFormat="1" applyFont="1" applyBorder="1" applyAlignment="1" applyProtection="1">
      <alignment horizontal="right"/>
    </xf>
    <xf numFmtId="0" fontId="25" fillId="0" borderId="12" xfId="0" applyFont="1" applyBorder="1" applyAlignment="1" applyProtection="1">
      <alignment horizontal="center"/>
    </xf>
    <xf numFmtId="49" fontId="19" fillId="0" borderId="0" xfId="0" applyNumberFormat="1" applyFont="1" applyBorder="1" applyProtection="1"/>
    <xf numFmtId="0" fontId="0" fillId="0" borderId="12" xfId="0" applyBorder="1" applyAlignment="1" applyProtection="1">
      <alignment horizontal="center"/>
    </xf>
    <xf numFmtId="0" fontId="30" fillId="0" borderId="4" xfId="0" applyFont="1" applyBorder="1" applyProtection="1"/>
    <xf numFmtId="49" fontId="25" fillId="0" borderId="0" xfId="0" applyNumberFormat="1" applyFont="1" applyBorder="1" applyProtection="1"/>
    <xf numFmtId="0" fontId="36" fillId="0" borderId="12" xfId="0" applyFont="1" applyBorder="1" applyAlignment="1" applyProtection="1">
      <alignment horizontal="center"/>
    </xf>
    <xf numFmtId="0" fontId="11" fillId="0" borderId="4" xfId="0" applyFont="1" applyBorder="1" applyAlignment="1" applyProtection="1"/>
    <xf numFmtId="49" fontId="31" fillId="0" borderId="0" xfId="0" applyNumberFormat="1" applyFont="1" applyBorder="1" applyAlignment="1" applyProtection="1">
      <alignment horizontal="center"/>
    </xf>
    <xf numFmtId="0" fontId="11" fillId="0" borderId="0" xfId="0" applyFont="1" applyBorder="1" applyAlignment="1" applyProtection="1"/>
    <xf numFmtId="3" fontId="33" fillId="0" borderId="0" xfId="0" applyNumberFormat="1" applyFont="1" applyBorder="1" applyAlignment="1" applyProtection="1">
      <alignment horizontal="center"/>
    </xf>
    <xf numFmtId="49" fontId="33" fillId="0" borderId="0" xfId="0" applyNumberFormat="1" applyFont="1" applyBorder="1" applyAlignment="1" applyProtection="1">
      <alignment horizontal="center"/>
    </xf>
    <xf numFmtId="3" fontId="33" fillId="0" borderId="12" xfId="0" applyNumberFormat="1" applyFont="1" applyBorder="1" applyAlignment="1" applyProtection="1">
      <alignment horizontal="center"/>
    </xf>
    <xf numFmtId="3" fontId="35" fillId="0" borderId="0" xfId="0" applyNumberFormat="1" applyFont="1" applyBorder="1" applyAlignment="1" applyProtection="1">
      <alignment horizontal="center"/>
    </xf>
    <xf numFmtId="49" fontId="35" fillId="0" borderId="0" xfId="0" applyNumberFormat="1" applyFont="1" applyBorder="1" applyAlignment="1" applyProtection="1">
      <alignment horizontal="center"/>
    </xf>
    <xf numFmtId="3" fontId="35" fillId="0" borderId="12" xfId="0" applyNumberFormat="1" applyFont="1" applyBorder="1" applyAlignment="1" applyProtection="1">
      <alignment horizontal="center"/>
    </xf>
    <xf numFmtId="0" fontId="23" fillId="0" borderId="0" xfId="0" applyFont="1" applyBorder="1" applyAlignment="1" applyProtection="1"/>
    <xf numFmtId="0" fontId="29" fillId="0" borderId="0" xfId="0" applyFont="1" applyBorder="1" applyProtection="1"/>
    <xf numFmtId="3" fontId="29" fillId="0" borderId="0" xfId="0" applyNumberFormat="1" applyFont="1" applyBorder="1" applyAlignment="1" applyProtection="1">
      <alignment horizontal="center"/>
    </xf>
    <xf numFmtId="0" fontId="33" fillId="0" borderId="0" xfId="0" applyFont="1" applyBorder="1" applyAlignment="1" applyProtection="1">
      <alignment horizontal="right"/>
    </xf>
    <xf numFmtId="0" fontId="16" fillId="0" borderId="0" xfId="0" applyFont="1" applyBorder="1" applyAlignment="1" applyProtection="1">
      <alignment horizontal="center"/>
    </xf>
    <xf numFmtId="0" fontId="16" fillId="0" borderId="13" xfId="0" applyFont="1" applyBorder="1" applyAlignment="1" applyProtection="1">
      <alignment horizontal="center"/>
    </xf>
    <xf numFmtId="3" fontId="0" fillId="0" borderId="14" xfId="0" applyNumberFormat="1" applyFont="1" applyBorder="1" applyAlignment="1" applyProtection="1">
      <alignment horizontal="center"/>
    </xf>
    <xf numFmtId="0" fontId="0" fillId="0" borderId="11" xfId="0" applyFont="1" applyBorder="1" applyAlignment="1" applyProtection="1">
      <alignment horizontal="center"/>
    </xf>
    <xf numFmtId="3" fontId="0" fillId="0" borderId="11" xfId="0" applyNumberFormat="1" applyFont="1" applyBorder="1" applyAlignment="1" applyProtection="1">
      <alignment horizontal="center"/>
    </xf>
    <xf numFmtId="0" fontId="31" fillId="0" borderId="0" xfId="0" applyFont="1" applyBorder="1" applyAlignment="1" applyProtection="1">
      <alignment horizontal="right"/>
    </xf>
    <xf numFmtId="0" fontId="31" fillId="0" borderId="14" xfId="0" applyFont="1" applyBorder="1" applyAlignment="1" applyProtection="1">
      <alignment horizontal="center"/>
    </xf>
    <xf numFmtId="0" fontId="32" fillId="0" borderId="7" xfId="0" applyFont="1" applyBorder="1" applyProtection="1"/>
    <xf numFmtId="0" fontId="21" fillId="0" borderId="7" xfId="0" applyFont="1" applyBorder="1" applyProtection="1"/>
    <xf numFmtId="0" fontId="37" fillId="0" borderId="7" xfId="0" applyFont="1" applyBorder="1" applyAlignment="1" applyProtection="1">
      <alignment horizontal="center"/>
    </xf>
    <xf numFmtId="0" fontId="38" fillId="0" borderId="7" xfId="0" applyFont="1" applyBorder="1" applyProtection="1"/>
    <xf numFmtId="0" fontId="13" fillId="0" borderId="16" xfId="0" applyFont="1" applyBorder="1" applyAlignment="1" applyProtection="1">
      <alignment horizontal="center"/>
    </xf>
    <xf numFmtId="0" fontId="0" fillId="0" borderId="1" xfId="0" applyFont="1" applyBorder="1" applyAlignment="1" applyProtection="1">
      <alignment horizontal="right" vertical="top" wrapText="1"/>
    </xf>
    <xf numFmtId="0" fontId="0" fillId="5" borderId="0" xfId="0" applyFill="1" applyBorder="1"/>
    <xf numFmtId="49" fontId="52" fillId="5" borderId="0" xfId="0" applyNumberFormat="1" applyFont="1" applyFill="1" applyBorder="1" applyAlignment="1">
      <alignment horizontal="center" vertical="top" wrapText="1"/>
    </xf>
    <xf numFmtId="49" fontId="47" fillId="5" borderId="0" xfId="0" applyNumberFormat="1" applyFont="1" applyFill="1" applyBorder="1" applyAlignment="1">
      <alignment horizontal="center" vertical="top" wrapText="1"/>
    </xf>
    <xf numFmtId="49" fontId="0" fillId="5" borderId="0" xfId="0" applyNumberFormat="1" applyFill="1" applyBorder="1" applyAlignment="1">
      <alignment vertical="top" wrapText="1"/>
    </xf>
    <xf numFmtId="0" fontId="53" fillId="5" borderId="17" xfId="0" applyFont="1"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49" fontId="0" fillId="5" borderId="0" xfId="0" applyNumberFormat="1" applyFill="1" applyBorder="1" applyAlignment="1">
      <alignment horizontal="center" vertical="top" wrapText="1"/>
    </xf>
    <xf numFmtId="0" fontId="1" fillId="5" borderId="0" xfId="0" applyFont="1" applyFill="1" applyBorder="1" applyProtection="1"/>
    <xf numFmtId="0" fontId="0" fillId="5" borderId="0" xfId="0" applyFill="1" applyBorder="1" applyProtection="1"/>
    <xf numFmtId="0" fontId="0" fillId="5" borderId="0" xfId="0" applyFill="1" applyBorder="1" applyAlignment="1" applyProtection="1">
      <alignment horizontal="center"/>
    </xf>
    <xf numFmtId="0" fontId="4" fillId="5" borderId="0" xfId="0" applyFont="1" applyFill="1" applyBorder="1" applyProtection="1"/>
    <xf numFmtId="0" fontId="2" fillId="5" borderId="0" xfId="0" applyFont="1" applyFill="1" applyBorder="1" applyAlignment="1" applyProtection="1">
      <alignment horizontal="center"/>
    </xf>
    <xf numFmtId="0" fontId="2" fillId="5" borderId="0" xfId="0" applyFont="1" applyFill="1" applyBorder="1" applyProtection="1"/>
    <xf numFmtId="49" fontId="55" fillId="5" borderId="0" xfId="1" applyNumberFormat="1" applyFont="1" applyFill="1" applyBorder="1" applyAlignment="1">
      <alignment vertical="top" wrapText="1"/>
    </xf>
    <xf numFmtId="49" fontId="23" fillId="0" borderId="0" xfId="0" applyNumberFormat="1" applyFont="1" applyBorder="1" applyAlignment="1" applyProtection="1">
      <alignment vertical="top" wrapText="1"/>
    </xf>
    <xf numFmtId="0" fontId="0" fillId="0" borderId="19" xfId="0" applyBorder="1" applyProtection="1"/>
    <xf numFmtId="0" fontId="46" fillId="0" borderId="0" xfId="0" applyFont="1" applyBorder="1" applyProtection="1"/>
    <xf numFmtId="0" fontId="32" fillId="0" borderId="0" xfId="0" applyFont="1" applyBorder="1" applyProtection="1"/>
    <xf numFmtId="0" fontId="21" fillId="0" borderId="0" xfId="0" applyFont="1" applyBorder="1" applyProtection="1"/>
    <xf numFmtId="0" fontId="37" fillId="0" borderId="0" xfId="0" applyFont="1" applyBorder="1" applyAlignment="1" applyProtection="1">
      <alignment horizontal="center"/>
    </xf>
    <xf numFmtId="0" fontId="38" fillId="0" borderId="0" xfId="0" applyFont="1" applyBorder="1" applyProtection="1"/>
    <xf numFmtId="0" fontId="12" fillId="0" borderId="7" xfId="0" applyFont="1" applyBorder="1" applyAlignment="1" applyProtection="1"/>
    <xf numFmtId="3" fontId="0" fillId="9" borderId="1" xfId="0" applyNumberFormat="1" applyFont="1" applyFill="1" applyBorder="1" applyAlignment="1" applyProtection="1">
      <alignment horizontal="right"/>
    </xf>
    <xf numFmtId="3" fontId="0" fillId="7" borderId="1" xfId="0" applyNumberFormat="1" applyFont="1" applyFill="1" applyBorder="1" applyAlignment="1" applyProtection="1">
      <alignment horizontal="right"/>
    </xf>
    <xf numFmtId="3" fontId="0" fillId="9" borderId="1" xfId="0" applyNumberFormat="1" applyFont="1" applyFill="1" applyBorder="1" applyProtection="1"/>
    <xf numFmtId="3" fontId="0" fillId="7" borderId="1" xfId="0" applyNumberFormat="1" applyFont="1" applyFill="1" applyBorder="1" applyProtection="1"/>
    <xf numFmtId="0" fontId="6" fillId="0" borderId="10" xfId="0" applyFont="1" applyBorder="1" applyAlignment="1" applyProtection="1">
      <alignment horizontal="center" vertical="top" wrapText="1"/>
    </xf>
    <xf numFmtId="3" fontId="0" fillId="0" borderId="10" xfId="0" applyNumberFormat="1" applyFont="1" applyBorder="1" applyAlignment="1" applyProtection="1">
      <alignment horizontal="right"/>
    </xf>
    <xf numFmtId="3" fontId="0" fillId="7" borderId="10" xfId="0" applyNumberFormat="1" applyFont="1" applyFill="1" applyBorder="1" applyAlignment="1" applyProtection="1">
      <alignment horizontal="right"/>
    </xf>
    <xf numFmtId="3" fontId="0" fillId="9" borderId="10" xfId="0" applyNumberFormat="1" applyFont="1" applyFill="1" applyBorder="1" applyAlignment="1" applyProtection="1">
      <alignment horizontal="right"/>
    </xf>
    <xf numFmtId="0" fontId="1" fillId="5" borderId="24" xfId="0" applyFont="1" applyFill="1" applyBorder="1" applyProtection="1"/>
    <xf numFmtId="3" fontId="0" fillId="10" borderId="24" xfId="0" applyNumberFormat="1" applyFont="1" applyFill="1" applyBorder="1" applyProtection="1"/>
    <xf numFmtId="3" fontId="0" fillId="5" borderId="24" xfId="0" applyNumberFormat="1" applyFont="1" applyFill="1" applyBorder="1" applyProtection="1"/>
    <xf numFmtId="3" fontId="0" fillId="5" borderId="24" xfId="0" applyNumberFormat="1" applyFill="1" applyBorder="1" applyProtection="1"/>
    <xf numFmtId="3" fontId="0" fillId="8" borderId="24" xfId="0" applyNumberFormat="1" applyFont="1" applyFill="1" applyBorder="1" applyProtection="1"/>
    <xf numFmtId="3" fontId="0" fillId="11" borderId="24" xfId="0" applyNumberFormat="1" applyFont="1" applyFill="1" applyBorder="1" applyProtection="1"/>
    <xf numFmtId="0" fontId="68" fillId="0" borderId="1" xfId="0" applyFont="1" applyBorder="1" applyAlignment="1" applyProtection="1">
      <alignment horizontal="center" vertical="top" wrapText="1"/>
    </xf>
    <xf numFmtId="49" fontId="0" fillId="0" borderId="0" xfId="0" applyNumberFormat="1" applyAlignment="1">
      <alignment wrapText="1"/>
    </xf>
    <xf numFmtId="3" fontId="5" fillId="0" borderId="1" xfId="0" applyNumberFormat="1" applyFont="1" applyBorder="1" applyAlignment="1" applyProtection="1">
      <alignment horizontal="center"/>
    </xf>
    <xf numFmtId="0" fontId="57" fillId="0" borderId="1" xfId="0" applyFont="1" applyBorder="1" applyAlignment="1" applyProtection="1">
      <alignment horizontal="center" vertical="top" wrapText="1"/>
    </xf>
    <xf numFmtId="0" fontId="35" fillId="3" borderId="1" xfId="0" applyFont="1" applyFill="1" applyBorder="1" applyAlignment="1" applyProtection="1">
      <alignment horizontal="center"/>
    </xf>
    <xf numFmtId="0" fontId="33" fillId="5" borderId="1" xfId="0" applyFont="1" applyFill="1" applyBorder="1" applyAlignment="1" applyProtection="1">
      <alignment horizontal="right"/>
    </xf>
    <xf numFmtId="0" fontId="19" fillId="5" borderId="0" xfId="0" applyFont="1" applyFill="1" applyBorder="1" applyAlignment="1" applyProtection="1">
      <alignment horizontal="center"/>
    </xf>
    <xf numFmtId="0" fontId="19" fillId="12" borderId="1" xfId="0" applyFont="1" applyFill="1" applyBorder="1" applyAlignment="1" applyProtection="1">
      <alignment horizontal="center"/>
    </xf>
    <xf numFmtId="3" fontId="9" fillId="12" borderId="10" xfId="0" applyNumberFormat="1" applyFont="1" applyFill="1" applyBorder="1" applyProtection="1"/>
    <xf numFmtId="0" fontId="1" fillId="12" borderId="1" xfId="0" applyFont="1" applyFill="1" applyBorder="1" applyProtection="1"/>
    <xf numFmtId="0" fontId="23" fillId="0" borderId="18" xfId="0" applyFont="1" applyBorder="1" applyAlignment="1" applyProtection="1"/>
    <xf numFmtId="0" fontId="0" fillId="0" borderId="18" xfId="0" applyBorder="1" applyProtection="1"/>
    <xf numFmtId="0" fontId="13" fillId="0" borderId="8" xfId="0" applyFont="1" applyBorder="1" applyAlignment="1" applyProtection="1">
      <alignment horizontal="right"/>
    </xf>
    <xf numFmtId="0" fontId="23" fillId="0" borderId="17" xfId="0" applyFont="1" applyBorder="1" applyAlignment="1" applyProtection="1"/>
    <xf numFmtId="0" fontId="32" fillId="0" borderId="18" xfId="0" applyFont="1" applyBorder="1" applyProtection="1"/>
    <xf numFmtId="0" fontId="31" fillId="0" borderId="18" xfId="0" applyFont="1" applyBorder="1" applyAlignment="1" applyProtection="1"/>
    <xf numFmtId="0" fontId="31" fillId="0" borderId="19" xfId="0" applyFont="1" applyBorder="1" applyAlignment="1" applyProtection="1">
      <alignment horizontal="right"/>
    </xf>
    <xf numFmtId="0" fontId="16" fillId="0" borderId="2" xfId="0" applyFont="1" applyBorder="1" applyAlignment="1" applyProtection="1">
      <alignment horizontal="center"/>
    </xf>
    <xf numFmtId="0" fontId="0" fillId="0" borderId="9" xfId="0" applyFont="1" applyBorder="1" applyProtection="1"/>
    <xf numFmtId="0" fontId="5" fillId="0" borderId="0" xfId="0" applyFont="1" applyBorder="1" applyAlignment="1" applyProtection="1">
      <alignment horizontal="right" vertical="top" wrapText="1"/>
    </xf>
    <xf numFmtId="49" fontId="59" fillId="0" borderId="0" xfId="0" applyNumberFormat="1" applyFont="1" applyBorder="1" applyAlignment="1" applyProtection="1">
      <alignment horizontal="left" vertical="top" wrapText="1"/>
    </xf>
    <xf numFmtId="0" fontId="55" fillId="0" borderId="1" xfId="0" applyFont="1" applyBorder="1" applyAlignment="1" applyProtection="1">
      <alignment horizontal="center" vertical="top" wrapText="1"/>
    </xf>
    <xf numFmtId="3" fontId="35" fillId="5" borderId="1" xfId="0" applyNumberFormat="1" applyFont="1" applyFill="1" applyBorder="1" applyAlignment="1" applyProtection="1">
      <alignment horizontal="center"/>
    </xf>
    <xf numFmtId="0" fontId="0" fillId="0" borderId="20" xfId="0" applyBorder="1" applyAlignment="1">
      <alignment wrapText="1"/>
    </xf>
    <xf numFmtId="0" fontId="0" fillId="0" borderId="0" xfId="0" applyBorder="1" applyAlignment="1">
      <alignment wrapText="1"/>
    </xf>
    <xf numFmtId="0" fontId="6" fillId="0" borderId="0" xfId="0" applyFont="1" applyBorder="1" applyAlignment="1">
      <alignment wrapText="1"/>
    </xf>
    <xf numFmtId="0" fontId="0" fillId="0" borderId="21" xfId="0" applyBorder="1" applyAlignment="1">
      <alignment wrapText="1"/>
    </xf>
    <xf numFmtId="0" fontId="0" fillId="0" borderId="20" xfId="0" applyBorder="1"/>
    <xf numFmtId="0" fontId="0" fillId="0" borderId="0" xfId="0" applyBorder="1"/>
    <xf numFmtId="0" fontId="0" fillId="0" borderId="21" xfId="0" applyBorder="1"/>
    <xf numFmtId="3" fontId="0" fillId="0" borderId="25" xfId="0" applyNumberFormat="1" applyFont="1" applyBorder="1" applyAlignment="1">
      <alignment horizontal="right"/>
    </xf>
    <xf numFmtId="3" fontId="0" fillId="0" borderId="22" xfId="0" applyNumberFormat="1" applyBorder="1"/>
    <xf numFmtId="3" fontId="0" fillId="0" borderId="15" xfId="0" applyNumberFormat="1" applyBorder="1"/>
    <xf numFmtId="0" fontId="0" fillId="0" borderId="15" xfId="0" applyBorder="1"/>
    <xf numFmtId="3" fontId="0" fillId="0" borderId="23" xfId="0" applyNumberFormat="1" applyBorder="1"/>
    <xf numFmtId="49" fontId="45" fillId="0" borderId="0" xfId="0" applyNumberFormat="1" applyFont="1" applyBorder="1" applyAlignment="1" applyProtection="1">
      <alignment wrapText="1"/>
    </xf>
    <xf numFmtId="3" fontId="0" fillId="12" borderId="1" xfId="0" applyNumberFormat="1" applyFont="1" applyFill="1" applyBorder="1" applyAlignment="1" applyProtection="1">
      <alignment horizontal="right"/>
    </xf>
    <xf numFmtId="3" fontId="43" fillId="0" borderId="1" xfId="0" applyNumberFormat="1" applyFont="1" applyBorder="1" applyAlignment="1" applyProtection="1">
      <alignment horizontal="center"/>
    </xf>
    <xf numFmtId="3" fontId="0" fillId="3" borderId="1" xfId="0" applyNumberFormat="1" applyFont="1" applyFill="1" applyBorder="1" applyAlignment="1" applyProtection="1">
      <alignment horizontal="center"/>
    </xf>
    <xf numFmtId="0" fontId="8" fillId="0" borderId="1" xfId="0" applyFont="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0" fontId="1" fillId="5" borderId="21" xfId="0" applyFont="1" applyFill="1" applyBorder="1" applyAlignment="1"/>
    <xf numFmtId="0" fontId="0" fillId="5" borderId="21" xfId="0" applyFill="1" applyBorder="1" applyAlignment="1">
      <alignment wrapText="1"/>
    </xf>
    <xf numFmtId="49" fontId="54" fillId="5" borderId="22" xfId="0" applyNumberFormat="1" applyFont="1" applyFill="1" applyBorder="1" applyAlignment="1">
      <alignment horizontal="center" wrapText="1"/>
    </xf>
    <xf numFmtId="49" fontId="54" fillId="5" borderId="15" xfId="0" applyNumberFormat="1" applyFont="1" applyFill="1" applyBorder="1" applyAlignment="1">
      <alignment horizontal="center" wrapText="1"/>
    </xf>
    <xf numFmtId="49" fontId="54" fillId="5" borderId="23" xfId="0" applyNumberFormat="1" applyFont="1" applyFill="1" applyBorder="1" applyAlignment="1">
      <alignment horizontal="center" wrapText="1"/>
    </xf>
    <xf numFmtId="0" fontId="1" fillId="5" borderId="0" xfId="0" applyFont="1" applyFill="1" applyBorder="1" applyAlignment="1">
      <alignment horizontal="center"/>
    </xf>
    <xf numFmtId="0" fontId="0" fillId="5" borderId="0" xfId="0" applyFill="1" applyBorder="1" applyAlignment="1">
      <alignment horizontal="center" wrapText="1"/>
    </xf>
    <xf numFmtId="0" fontId="3" fillId="8" borderId="0" xfId="0" applyFont="1" applyFill="1" applyBorder="1" applyAlignment="1" applyProtection="1">
      <alignment horizontal="center"/>
    </xf>
    <xf numFmtId="49" fontId="0" fillId="0" borderId="0" xfId="0" applyNumberFormat="1" applyBorder="1" applyAlignment="1" applyProtection="1">
      <alignment horizontal="left" vertical="top" wrapText="1"/>
    </xf>
    <xf numFmtId="0" fontId="1" fillId="0" borderId="0" xfId="0" applyFont="1" applyBorder="1" applyAlignment="1" applyProtection="1">
      <alignment horizontal="center" vertical="top"/>
    </xf>
    <xf numFmtId="49" fontId="47" fillId="0" borderId="0" xfId="0" applyNumberFormat="1" applyFont="1" applyFill="1" applyBorder="1" applyAlignment="1" applyProtection="1">
      <alignment horizontal="left" vertical="top" wrapText="1"/>
    </xf>
    <xf numFmtId="0" fontId="5" fillId="5" borderId="4" xfId="0" applyFont="1" applyFill="1" applyBorder="1" applyAlignment="1" applyProtection="1">
      <alignment horizontal="right" vertical="top" wrapText="1"/>
    </xf>
    <xf numFmtId="49" fontId="0" fillId="0" borderId="0" xfId="0" applyNumberFormat="1" applyAlignment="1" applyProtection="1">
      <alignment horizontal="left" vertical="top" wrapText="1"/>
    </xf>
    <xf numFmtId="0" fontId="32" fillId="0" borderId="0" xfId="0" applyFont="1" applyFill="1" applyBorder="1" applyAlignment="1" applyProtection="1">
      <alignment horizontal="center"/>
    </xf>
    <xf numFmtId="0" fontId="28" fillId="0" borderId="0" xfId="0" applyFont="1" applyBorder="1" applyAlignment="1" applyProtection="1">
      <alignment horizontal="right" vertical="top" wrapText="1"/>
    </xf>
    <xf numFmtId="0" fontId="0" fillId="0" borderId="0" xfId="0" applyAlignment="1" applyProtection="1">
      <alignment horizontal="right" vertical="top" wrapText="1"/>
    </xf>
    <xf numFmtId="49" fontId="0" fillId="0" borderId="0" xfId="0" applyNumberFormat="1" applyFill="1" applyBorder="1" applyAlignment="1" applyProtection="1">
      <alignment horizontal="left" wrapText="1"/>
    </xf>
    <xf numFmtId="49" fontId="0" fillId="0" borderId="0" xfId="0" applyNumberFormat="1" applyFill="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19" fillId="0" borderId="0" xfId="0" applyNumberFormat="1" applyFont="1" applyBorder="1" applyAlignment="1" applyProtection="1">
      <alignment horizontal="left" vertical="top" wrapText="1"/>
    </xf>
    <xf numFmtId="0" fontId="1" fillId="0" borderId="18" xfId="0" applyFont="1" applyBorder="1" applyAlignment="1" applyProtection="1">
      <alignment horizontal="left" vertical="center"/>
    </xf>
    <xf numFmtId="0" fontId="44" fillId="0" borderId="0" xfId="0" applyFont="1" applyFill="1" applyBorder="1" applyAlignment="1" applyProtection="1">
      <alignment horizontal="center"/>
    </xf>
    <xf numFmtId="49" fontId="23" fillId="0" borderId="15" xfId="0" applyNumberFormat="1" applyFont="1" applyBorder="1" applyAlignment="1" applyProtection="1">
      <alignment horizontal="center" vertical="top" wrapText="1"/>
    </xf>
    <xf numFmtId="49" fontId="23" fillId="0" borderId="23" xfId="0" applyNumberFormat="1" applyFont="1" applyBorder="1" applyAlignment="1" applyProtection="1">
      <alignment horizontal="center" vertical="top" wrapText="1"/>
    </xf>
    <xf numFmtId="0" fontId="5" fillId="0" borderId="0" xfId="0" applyFont="1" applyBorder="1" applyAlignment="1" applyProtection="1">
      <alignment horizontal="right" vertical="top" wrapText="1"/>
    </xf>
    <xf numFmtId="49" fontId="25" fillId="0" borderId="0" xfId="0" applyNumberFormat="1" applyFont="1" applyFill="1" applyBorder="1" applyAlignment="1" applyProtection="1">
      <alignment horizontal="left" vertical="top" wrapText="1"/>
    </xf>
    <xf numFmtId="0" fontId="66" fillId="0" borderId="18" xfId="0" applyFont="1" applyBorder="1" applyAlignment="1" applyProtection="1">
      <alignment horizontal="center" vertical="center"/>
    </xf>
    <xf numFmtId="0" fontId="67" fillId="0" borderId="18" xfId="0" applyFont="1" applyBorder="1" applyAlignment="1" applyProtection="1">
      <alignment horizontal="center" vertical="center"/>
    </xf>
    <xf numFmtId="49" fontId="59" fillId="0" borderId="0" xfId="0" applyNumberFormat="1" applyFont="1" applyBorder="1" applyAlignment="1" applyProtection="1">
      <alignment horizontal="left" vertical="top"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Alignment="1">
      <alignment horizontal="center" vertical="top" wrapText="1"/>
    </xf>
    <xf numFmtId="0" fontId="0" fillId="0" borderId="0" xfId="0" applyAlignment="1">
      <alignment horizontal="center"/>
    </xf>
  </cellXfs>
  <cellStyles count="2">
    <cellStyle name="Hyperlink" xfId="1" builtinId="8"/>
    <cellStyle name="Standard"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57149</xdr:colOff>
      <xdr:row>5</xdr:row>
      <xdr:rowOff>161923</xdr:rowOff>
    </xdr:from>
    <xdr:ext cx="1876425" cy="638177"/>
    <xdr:sp macro="[0]!Verweis_Mehrheitsrechner_Art_238_II" textlink="">
      <xdr:nvSpPr>
        <xdr:cNvPr id="12" name="Textfeld 11"/>
        <xdr:cNvSpPr txBox="1"/>
      </xdr:nvSpPr>
      <xdr:spPr>
        <a:xfrm>
          <a:off x="2781299" y="1171573"/>
          <a:ext cx="1876425" cy="638177"/>
        </a:xfrm>
        <a:prstGeom prst="rect">
          <a:avLst/>
        </a:prstGeom>
        <a:solidFill>
          <a:srgbClr val="FFFFFF"/>
        </a:solidFill>
        <a:ln w="9525" cap="flat" cmpd="sng" algn="ctr">
          <a:solidFill>
            <a:schemeClr val="tx1">
              <a:lumMod val="100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50" b="1">
              <a:solidFill>
                <a:schemeClr val="accent2"/>
              </a:solidFill>
              <a:latin typeface="Arial" pitchFamily="34" charset="0"/>
              <a:cs typeface="Arial" pitchFamily="34" charset="0"/>
            </a:rPr>
            <a:t>Qualifizierte Mehrheit</a:t>
          </a:r>
          <a:r>
            <a:rPr lang="de-DE" sz="1050" b="1" baseline="0">
              <a:solidFill>
                <a:schemeClr val="accent2"/>
              </a:solidFill>
              <a:latin typeface="Arial" pitchFamily="34" charset="0"/>
              <a:cs typeface="Arial" pitchFamily="34" charset="0"/>
            </a:rPr>
            <a:t> (Abstimmung ohne KOM-Vorschlag)</a:t>
          </a:r>
          <a:r>
            <a:rPr lang="de-DE" sz="1050" b="1" baseline="30000">
              <a:solidFill>
                <a:schemeClr val="accent2"/>
              </a:solidFill>
              <a:latin typeface="Arial" pitchFamily="34" charset="0"/>
              <a:cs typeface="Arial" pitchFamily="34" charset="0"/>
            </a:rPr>
            <a:t>##</a:t>
          </a:r>
        </a:p>
      </xdr:txBody>
    </xdr:sp>
    <xdr:clientData/>
  </xdr:oneCellAnchor>
  <xdr:oneCellAnchor>
    <xdr:from>
      <xdr:col>0</xdr:col>
      <xdr:colOff>752475</xdr:colOff>
      <xdr:row>5</xdr:row>
      <xdr:rowOff>161924</xdr:rowOff>
    </xdr:from>
    <xdr:ext cx="1914525" cy="638176"/>
    <xdr:sp macro="[0]!Verweis_Mehrheitsrechner_ab_11_2014" textlink="">
      <xdr:nvSpPr>
        <xdr:cNvPr id="15" name="Textfeld 14"/>
        <xdr:cNvSpPr txBox="1"/>
      </xdr:nvSpPr>
      <xdr:spPr>
        <a:xfrm>
          <a:off x="752475" y="1171574"/>
          <a:ext cx="1914525" cy="638176"/>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50" b="1">
              <a:solidFill>
                <a:srgbClr val="3333FF"/>
              </a:solidFill>
              <a:latin typeface="Arial" pitchFamily="34" charset="0"/>
              <a:cs typeface="Arial" pitchFamily="34" charset="0"/>
            </a:rPr>
            <a:t>Normales Abstimmungsverfahren</a:t>
          </a:r>
        </a:p>
      </xdr:txBody>
    </xdr:sp>
    <xdr:clientData/>
  </xdr:oneCellAnchor>
  <xdr:twoCellAnchor editAs="oneCell">
    <xdr:from>
      <xdr:col>4</xdr:col>
      <xdr:colOff>57150</xdr:colOff>
      <xdr:row>10</xdr:row>
      <xdr:rowOff>57150</xdr:rowOff>
    </xdr:from>
    <xdr:to>
      <xdr:col>6</xdr:col>
      <xdr:colOff>666935</xdr:colOff>
      <xdr:row>12</xdr:row>
      <xdr:rowOff>121649</xdr:rowOff>
    </xdr:to>
    <xdr:pic>
      <xdr:nvPicPr>
        <xdr:cNvPr id="3" name="Grafik 2"/>
        <xdr:cNvPicPr>
          <a:picLocks noChangeAspect="1"/>
        </xdr:cNvPicPr>
      </xdr:nvPicPr>
      <xdr:blipFill>
        <a:blip xmlns:r="http://schemas.openxmlformats.org/officeDocument/2006/relationships" r:embed="rId1"/>
        <a:stretch>
          <a:fillRect/>
        </a:stretch>
      </xdr:blipFill>
      <xdr:spPr>
        <a:xfrm>
          <a:off x="6724650" y="2638425"/>
          <a:ext cx="2133785" cy="127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1</xdr:row>
      <xdr:rowOff>0</xdr:rowOff>
    </xdr:from>
    <xdr:ext cx="4045323" cy="851647"/>
    <xdr:sp macro="" textlink="">
      <xdr:nvSpPr>
        <xdr:cNvPr id="2" name="Textfeld 1"/>
        <xdr:cNvSpPr txBox="1"/>
      </xdr:nvSpPr>
      <xdr:spPr>
        <a:xfrm>
          <a:off x="3440206" y="1019734"/>
          <a:ext cx="4045323"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twoCellAnchor>
    <xdr:from>
      <xdr:col>1</xdr:col>
      <xdr:colOff>62753</xdr:colOff>
      <xdr:row>61</xdr:row>
      <xdr:rowOff>286870</xdr:rowOff>
    </xdr:from>
    <xdr:to>
      <xdr:col>4</xdr:col>
      <xdr:colOff>840441</xdr:colOff>
      <xdr:row>62</xdr:row>
      <xdr:rowOff>623046</xdr:rowOff>
    </xdr:to>
    <xdr:sp macro="[0]!Sprung_Normal_238" textlink="">
      <xdr:nvSpPr>
        <xdr:cNvPr id="8" name="Textfeld 7"/>
        <xdr:cNvSpPr txBox="1"/>
      </xdr:nvSpPr>
      <xdr:spPr>
        <a:xfrm>
          <a:off x="2684929" y="11593605"/>
          <a:ext cx="3657600" cy="6275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accent2"/>
              </a:solidFill>
              <a:latin typeface="Arial" pitchFamily="34" charset="0"/>
              <a:cs typeface="Arial" pitchFamily="34" charset="0"/>
            </a:rPr>
            <a:t>=&gt;&gt;</a:t>
          </a:r>
          <a:r>
            <a:rPr lang="de-DE" sz="1100" b="1" baseline="0">
              <a:solidFill>
                <a:schemeClr val="accent2"/>
              </a:solidFill>
              <a:latin typeface="Arial" pitchFamily="34" charset="0"/>
              <a:cs typeface="Arial" pitchFamily="34" charset="0"/>
            </a:rPr>
            <a:t> </a:t>
          </a:r>
          <a:r>
            <a:rPr lang="de-DE" sz="1100" b="1">
              <a:solidFill>
                <a:schemeClr val="accent2"/>
              </a:solidFill>
              <a:latin typeface="Arial" pitchFamily="34" charset="0"/>
              <a:cs typeface="Arial" pitchFamily="34" charset="0"/>
            </a:rPr>
            <a:t>Wechsel</a:t>
          </a:r>
          <a:r>
            <a:rPr lang="de-DE" sz="1100" b="1" baseline="0">
              <a:solidFill>
                <a:schemeClr val="accent2"/>
              </a:solidFill>
              <a:latin typeface="Arial" pitchFamily="34" charset="0"/>
              <a:cs typeface="Arial" pitchFamily="34" charset="0"/>
            </a:rPr>
            <a:t> zur Abstimmung bei Abstimmung ohne KOM-Vorschlag (mit dem gewählten Stimmverhalten und teilnehmenden MS)</a:t>
          </a:r>
          <a:endParaRPr lang="de-DE" sz="1100" b="1">
            <a:solidFill>
              <a:schemeClr val="accent2"/>
            </a:solidFill>
            <a:latin typeface="Arial" pitchFamily="34" charset="0"/>
            <a:cs typeface="Arial" pitchFamily="34" charset="0"/>
          </a:endParaRPr>
        </a:p>
      </xdr:txBody>
    </xdr:sp>
    <xdr:clientData/>
  </xdr:twoCellAnchor>
  <xdr:oneCellAnchor>
    <xdr:from>
      <xdr:col>6</xdr:col>
      <xdr:colOff>179293</xdr:colOff>
      <xdr:row>3</xdr:row>
      <xdr:rowOff>22410</xdr:rowOff>
    </xdr:from>
    <xdr:ext cx="1232647" cy="649942"/>
    <xdr:sp macro="[0]!Normal_SETTINGS_DEFAULT" textlink="">
      <xdr:nvSpPr>
        <xdr:cNvPr id="5" name="Textfeld 4"/>
        <xdr:cNvSpPr txBox="1"/>
      </xdr:nvSpPr>
      <xdr:spPr>
        <a:xfrm>
          <a:off x="8572499" y="605116"/>
          <a:ext cx="1232647" cy="649942"/>
        </a:xfrm>
        <a:prstGeom prst="rect">
          <a:avLst/>
        </a:prstGeom>
        <a:solidFill>
          <a:schemeClr val="accent2">
            <a:lumMod val="60000"/>
            <a:lumOff val="4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100">
              <a:solidFill>
                <a:schemeClr val="tx1"/>
              </a:solidFill>
              <a:latin typeface="Arial" pitchFamily="34" charset="0"/>
              <a:cs typeface="Arial" pitchFamily="34" charset="0"/>
            </a:rPr>
            <a:t>(</a:t>
          </a:r>
          <a:r>
            <a:rPr lang="de-DE" sz="1100">
              <a:solidFill>
                <a:srgbClr val="FF0000"/>
              </a:solidFill>
              <a:latin typeface="Arial" pitchFamily="34" charset="0"/>
              <a:cs typeface="Arial" pitchFamily="34" charset="0"/>
            </a:rPr>
            <a:t>RESET</a:t>
          </a:r>
          <a:r>
            <a:rPr lang="de-DE" sz="1100">
              <a:solidFill>
                <a:schemeClr val="tx1"/>
              </a:solidFill>
              <a:latin typeface="Arial" pitchFamily="34" charset="0"/>
              <a:cs typeface="Arial" pitchFamily="34" charset="0"/>
            </a:rPr>
            <a:t>)</a:t>
          </a:r>
        </a:p>
        <a:p>
          <a:pPr algn="ctr"/>
          <a:r>
            <a:rPr lang="de-DE" sz="1100">
              <a:solidFill>
                <a:schemeClr val="tx1"/>
              </a:solidFill>
              <a:latin typeface="Arial" pitchFamily="34" charset="0"/>
              <a:cs typeface="Arial" pitchFamily="34" charset="0"/>
            </a:rPr>
            <a:t>Alle Eingaben</a:t>
          </a:r>
        </a:p>
        <a:p>
          <a:pPr algn="ctr"/>
          <a:r>
            <a:rPr lang="de-DE" sz="1100">
              <a:solidFill>
                <a:schemeClr val="tx1"/>
              </a:solidFill>
              <a:latin typeface="Arial" pitchFamily="34" charset="0"/>
              <a:cs typeface="Arial" pitchFamily="34" charset="0"/>
            </a:rPr>
            <a:t>zurücksetzen.</a:t>
          </a:r>
        </a:p>
      </xdr:txBody>
    </xdr:sp>
    <xdr:clientData/>
  </xdr:oneCellAnchor>
  <xdr:oneCellAnchor>
    <xdr:from>
      <xdr:col>6</xdr:col>
      <xdr:colOff>190499</xdr:colOff>
      <xdr:row>9</xdr:row>
      <xdr:rowOff>33624</xdr:rowOff>
    </xdr:from>
    <xdr:ext cx="1232648" cy="649942"/>
    <xdr:sp macro="[0]!Normal_Abstimmung_Alle_MS" textlink="">
      <xdr:nvSpPr>
        <xdr:cNvPr id="6" name="Textfeld 5"/>
        <xdr:cNvSpPr txBox="1"/>
      </xdr:nvSpPr>
      <xdr:spPr>
        <a:xfrm>
          <a:off x="8583705" y="2095506"/>
          <a:ext cx="1232648" cy="649942"/>
        </a:xfrm>
        <a:prstGeom prst="rect">
          <a:avLst/>
        </a:prstGeom>
        <a:solidFill>
          <a:schemeClr val="accent3"/>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100">
              <a:latin typeface="Arial" pitchFamily="34" charset="0"/>
              <a:cs typeface="Arial" pitchFamily="34" charset="0"/>
            </a:rPr>
            <a:t>Alle MS dürfen abstimmen</a:t>
          </a:r>
        </a:p>
      </xdr:txBody>
    </xdr:sp>
    <xdr:clientData/>
  </xdr:oneCellAnchor>
  <xdr:oneCellAnchor>
    <xdr:from>
      <xdr:col>6</xdr:col>
      <xdr:colOff>186017</xdr:colOff>
      <xdr:row>13</xdr:row>
      <xdr:rowOff>118788</xdr:rowOff>
    </xdr:from>
    <xdr:ext cx="1232648" cy="649942"/>
    <xdr:sp macro="[0]!Normal_Abstimmung_Eurogruppe" textlink="">
      <xdr:nvSpPr>
        <xdr:cNvPr id="9" name="Textfeld 8"/>
        <xdr:cNvSpPr txBox="1"/>
      </xdr:nvSpPr>
      <xdr:spPr>
        <a:xfrm>
          <a:off x="8579223" y="2808200"/>
          <a:ext cx="1232648" cy="649942"/>
        </a:xfrm>
        <a:prstGeom prst="rect">
          <a:avLst/>
        </a:prstGeom>
        <a:solidFill>
          <a:schemeClr val="tx2">
            <a:lumMod val="60000"/>
            <a:lumOff val="4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400">
              <a:latin typeface="Arial" pitchFamily="34" charset="0"/>
              <a:cs typeface="Arial" pitchFamily="34" charset="0"/>
            </a:rPr>
            <a:t>€</a:t>
          </a:r>
        </a:p>
        <a:p>
          <a:pPr algn="ctr"/>
          <a:r>
            <a:rPr lang="de-DE" sz="1100">
              <a:latin typeface="Arial" pitchFamily="34" charset="0"/>
              <a:cs typeface="Arial" pitchFamily="34" charset="0"/>
            </a:rPr>
            <a:t>Nur</a:t>
          </a:r>
          <a:r>
            <a:rPr lang="de-DE" sz="1100" baseline="0">
              <a:latin typeface="Arial" pitchFamily="34" charset="0"/>
              <a:cs typeface="Arial" pitchFamily="34" charset="0"/>
            </a:rPr>
            <a:t> Eurogruppe stimmt ab</a:t>
          </a:r>
          <a:endParaRPr lang="de-DE" sz="1100">
            <a:latin typeface="Arial" pitchFamily="34" charset="0"/>
            <a:cs typeface="Arial" pitchFamily="34" charset="0"/>
          </a:endParaRPr>
        </a:p>
      </xdr:txBody>
    </xdr:sp>
    <xdr:clientData/>
  </xdr:oneCellAnchor>
  <xdr:oneCellAnchor>
    <xdr:from>
      <xdr:col>6</xdr:col>
      <xdr:colOff>190500</xdr:colOff>
      <xdr:row>6</xdr:row>
      <xdr:rowOff>11206</xdr:rowOff>
    </xdr:from>
    <xdr:ext cx="1232647" cy="416781"/>
    <xdr:sp macro="" textlink="">
      <xdr:nvSpPr>
        <xdr:cNvPr id="4" name="Textfeld 3"/>
        <xdr:cNvSpPr txBox="1"/>
      </xdr:nvSpPr>
      <xdr:spPr>
        <a:xfrm>
          <a:off x="8583706" y="1602441"/>
          <a:ext cx="1232647" cy="41678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latin typeface="Arial" pitchFamily="34" charset="0"/>
              <a:cs typeface="Arial" pitchFamily="34" charset="0"/>
            </a:rPr>
            <a:t>Schnellauswahl</a:t>
          </a:r>
          <a:r>
            <a:rPr lang="de-DE" sz="1100" baseline="0">
              <a:latin typeface="Arial" pitchFamily="34" charset="0"/>
              <a:cs typeface="Arial" pitchFamily="34" charset="0"/>
            </a:rPr>
            <a:t> zur </a:t>
          </a:r>
          <a:r>
            <a:rPr lang="de-DE" sz="1100">
              <a:latin typeface="Arial" pitchFamily="34" charset="0"/>
              <a:cs typeface="Arial" pitchFamily="34" charset="0"/>
            </a:rPr>
            <a:t>Beteiligung:</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661147</xdr:colOff>
      <xdr:row>57</xdr:row>
      <xdr:rowOff>4483</xdr:rowOff>
    </xdr:from>
    <xdr:to>
      <xdr:col>2</xdr:col>
      <xdr:colOff>313764</xdr:colOff>
      <xdr:row>57</xdr:row>
      <xdr:rowOff>632012</xdr:rowOff>
    </xdr:to>
    <xdr:sp macro="[0]!Sprung_3_II_Normal" textlink="">
      <xdr:nvSpPr>
        <xdr:cNvPr id="2" name="Textfeld 1"/>
        <xdr:cNvSpPr txBox="1"/>
      </xdr:nvSpPr>
      <xdr:spPr>
        <a:xfrm>
          <a:off x="661147" y="11087101"/>
          <a:ext cx="2700617" cy="6275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3333FF"/>
              </a:solidFill>
              <a:latin typeface="Arial" pitchFamily="34" charset="0"/>
              <a:cs typeface="Arial" pitchFamily="34" charset="0"/>
            </a:rPr>
            <a:t>&lt;=</a:t>
          </a:r>
          <a:r>
            <a:rPr lang="de-DE" sz="1100" b="1" baseline="0">
              <a:solidFill>
                <a:srgbClr val="3333FF"/>
              </a:solidFill>
              <a:latin typeface="Arial" pitchFamily="34" charset="0"/>
              <a:cs typeface="Arial" pitchFamily="34" charset="0"/>
            </a:rPr>
            <a:t> </a:t>
          </a:r>
          <a:r>
            <a:rPr lang="de-DE" sz="1100" b="1">
              <a:solidFill>
                <a:srgbClr val="3333FF"/>
              </a:solidFill>
              <a:latin typeface="Arial" pitchFamily="34" charset="0"/>
              <a:cs typeface="Arial" pitchFamily="34" charset="0"/>
            </a:rPr>
            <a:t>Wechsel</a:t>
          </a:r>
          <a:r>
            <a:rPr lang="de-DE" sz="1100" b="1" baseline="0">
              <a:solidFill>
                <a:srgbClr val="3333FF"/>
              </a:solidFill>
              <a:latin typeface="Arial" pitchFamily="34" charset="0"/>
              <a:cs typeface="Arial" pitchFamily="34" charset="0"/>
            </a:rPr>
            <a:t> zur Abstimmung nach dem normalen Verfahren (mit dem gewählten Stimmverhalten)</a:t>
          </a:r>
          <a:endParaRPr lang="de-DE" sz="1100" b="1">
            <a:solidFill>
              <a:srgbClr val="3333FF"/>
            </a:solidFill>
            <a:latin typeface="Arial" pitchFamily="34" charset="0"/>
            <a:cs typeface="Arial" pitchFamily="34" charset="0"/>
          </a:endParaRPr>
        </a:p>
      </xdr:txBody>
    </xdr:sp>
    <xdr:clientData/>
  </xdr:twoCellAnchor>
  <xdr:twoCellAnchor>
    <xdr:from>
      <xdr:col>3</xdr:col>
      <xdr:colOff>29135</xdr:colOff>
      <xdr:row>57</xdr:row>
      <xdr:rowOff>0</xdr:rowOff>
    </xdr:from>
    <xdr:to>
      <xdr:col>5</xdr:col>
      <xdr:colOff>779928</xdr:colOff>
      <xdr:row>57</xdr:row>
      <xdr:rowOff>627529</xdr:rowOff>
    </xdr:to>
    <xdr:sp macro="[0]!Sprung_3_II_238" textlink="">
      <xdr:nvSpPr>
        <xdr:cNvPr id="3" name="Textfeld 2"/>
        <xdr:cNvSpPr txBox="1"/>
      </xdr:nvSpPr>
      <xdr:spPr>
        <a:xfrm>
          <a:off x="4029635" y="11082618"/>
          <a:ext cx="2700617" cy="6275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accent2"/>
              </a:solidFill>
              <a:latin typeface="Arial" pitchFamily="34" charset="0"/>
              <a:cs typeface="Arial" pitchFamily="34" charset="0"/>
            </a:rPr>
            <a:t>=&gt;&gt;</a:t>
          </a:r>
          <a:r>
            <a:rPr lang="de-DE" sz="1100" b="1" baseline="0">
              <a:solidFill>
                <a:schemeClr val="accent2"/>
              </a:solidFill>
              <a:latin typeface="Arial" pitchFamily="34" charset="0"/>
              <a:cs typeface="Arial" pitchFamily="34" charset="0"/>
            </a:rPr>
            <a:t> </a:t>
          </a:r>
          <a:r>
            <a:rPr lang="de-DE" sz="1100" b="1">
              <a:solidFill>
                <a:schemeClr val="accent2"/>
              </a:solidFill>
              <a:latin typeface="Arial" pitchFamily="34" charset="0"/>
              <a:cs typeface="Arial" pitchFamily="34" charset="0"/>
            </a:rPr>
            <a:t>Wechsel</a:t>
          </a:r>
          <a:r>
            <a:rPr lang="de-DE" sz="1100" b="1" baseline="0">
              <a:solidFill>
                <a:schemeClr val="accent2"/>
              </a:solidFill>
              <a:latin typeface="Arial" pitchFamily="34" charset="0"/>
              <a:cs typeface="Arial" pitchFamily="34" charset="0"/>
            </a:rPr>
            <a:t> zur Abstimmung bei Abstimmung ohne KOM-Vorschlag (mit dem gewählten Stimmverhalten)</a:t>
          </a:r>
          <a:endParaRPr lang="de-DE" sz="1100" b="1">
            <a:solidFill>
              <a:schemeClr val="accent2"/>
            </a:solidFill>
            <a:latin typeface="Arial" pitchFamily="34" charset="0"/>
            <a:cs typeface="Arial" pitchFamily="34" charset="0"/>
          </a:endParaRPr>
        </a:p>
      </xdr:txBody>
    </xdr:sp>
    <xdr:clientData/>
  </xdr:twoCellAnchor>
  <xdr:oneCellAnchor>
    <xdr:from>
      <xdr:col>7</xdr:col>
      <xdr:colOff>168089</xdr:colOff>
      <xdr:row>3</xdr:row>
      <xdr:rowOff>0</xdr:rowOff>
    </xdr:from>
    <xdr:ext cx="1232647" cy="649942"/>
    <xdr:sp macro="[0]!Normal_SETTINGS_DEFAULT" textlink="">
      <xdr:nvSpPr>
        <xdr:cNvPr id="4" name="Textfeld 3"/>
        <xdr:cNvSpPr txBox="1"/>
      </xdr:nvSpPr>
      <xdr:spPr>
        <a:xfrm>
          <a:off x="10141324" y="616324"/>
          <a:ext cx="1232647" cy="649942"/>
        </a:xfrm>
        <a:prstGeom prst="rect">
          <a:avLst/>
        </a:prstGeom>
        <a:solidFill>
          <a:schemeClr val="accent2">
            <a:lumMod val="60000"/>
            <a:lumOff val="4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100">
              <a:solidFill>
                <a:schemeClr val="tx1"/>
              </a:solidFill>
              <a:latin typeface="Arial" pitchFamily="34" charset="0"/>
              <a:cs typeface="Arial" pitchFamily="34" charset="0"/>
            </a:rPr>
            <a:t>(</a:t>
          </a:r>
          <a:r>
            <a:rPr lang="de-DE" sz="1100">
              <a:solidFill>
                <a:srgbClr val="FF0000"/>
              </a:solidFill>
              <a:latin typeface="Arial" pitchFamily="34" charset="0"/>
              <a:cs typeface="Arial" pitchFamily="34" charset="0"/>
            </a:rPr>
            <a:t>RESET</a:t>
          </a:r>
          <a:r>
            <a:rPr lang="de-DE" sz="1100">
              <a:solidFill>
                <a:schemeClr val="tx1"/>
              </a:solidFill>
              <a:latin typeface="Arial" pitchFamily="34" charset="0"/>
              <a:cs typeface="Arial" pitchFamily="34" charset="0"/>
            </a:rPr>
            <a:t>)</a:t>
          </a:r>
        </a:p>
        <a:p>
          <a:pPr algn="ctr"/>
          <a:r>
            <a:rPr lang="de-DE" sz="1100">
              <a:solidFill>
                <a:schemeClr val="tx1"/>
              </a:solidFill>
              <a:latin typeface="Arial" pitchFamily="34" charset="0"/>
              <a:cs typeface="Arial" pitchFamily="34" charset="0"/>
            </a:rPr>
            <a:t>Alle Eingaben</a:t>
          </a:r>
        </a:p>
        <a:p>
          <a:pPr algn="ctr"/>
          <a:r>
            <a:rPr lang="de-DE" sz="1100">
              <a:solidFill>
                <a:schemeClr val="tx1"/>
              </a:solidFill>
              <a:latin typeface="Arial" pitchFamily="34" charset="0"/>
              <a:cs typeface="Arial" pitchFamily="34" charset="0"/>
            </a:rPr>
            <a:t>zurücksetzen.</a:t>
          </a:r>
        </a:p>
      </xdr:txBody>
    </xdr:sp>
    <xdr:clientData/>
  </xdr:oneCellAnchor>
  <xdr:oneCellAnchor>
    <xdr:from>
      <xdr:col>7</xdr:col>
      <xdr:colOff>179295</xdr:colOff>
      <xdr:row>9</xdr:row>
      <xdr:rowOff>33627</xdr:rowOff>
    </xdr:from>
    <xdr:ext cx="1232648" cy="649942"/>
    <xdr:sp macro="[0]!Normal_Abstimmung_Alle_MS" textlink="">
      <xdr:nvSpPr>
        <xdr:cNvPr id="5" name="Textfeld 4"/>
        <xdr:cNvSpPr txBox="1"/>
      </xdr:nvSpPr>
      <xdr:spPr>
        <a:xfrm>
          <a:off x="10152530" y="2185156"/>
          <a:ext cx="1232648" cy="649942"/>
        </a:xfrm>
        <a:prstGeom prst="rect">
          <a:avLst/>
        </a:prstGeom>
        <a:solidFill>
          <a:schemeClr val="accent3"/>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100">
              <a:latin typeface="Arial" pitchFamily="34" charset="0"/>
              <a:cs typeface="Arial" pitchFamily="34" charset="0"/>
            </a:rPr>
            <a:t>Alle MS dürfen abstimmen</a:t>
          </a:r>
        </a:p>
      </xdr:txBody>
    </xdr:sp>
    <xdr:clientData/>
  </xdr:oneCellAnchor>
  <xdr:oneCellAnchor>
    <xdr:from>
      <xdr:col>7</xdr:col>
      <xdr:colOff>179296</xdr:colOff>
      <xdr:row>6</xdr:row>
      <xdr:rowOff>11208</xdr:rowOff>
    </xdr:from>
    <xdr:ext cx="1232647" cy="416781"/>
    <xdr:sp macro="" textlink="">
      <xdr:nvSpPr>
        <xdr:cNvPr id="7" name="Textfeld 6"/>
        <xdr:cNvSpPr txBox="1"/>
      </xdr:nvSpPr>
      <xdr:spPr>
        <a:xfrm>
          <a:off x="10152531" y="1692090"/>
          <a:ext cx="1232647" cy="41678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latin typeface="Arial" pitchFamily="34" charset="0"/>
              <a:cs typeface="Arial" pitchFamily="34" charset="0"/>
            </a:rPr>
            <a:t>Schnellauswahl</a:t>
          </a:r>
          <a:r>
            <a:rPr lang="de-DE" sz="1100" baseline="0">
              <a:latin typeface="Arial" pitchFamily="34" charset="0"/>
              <a:cs typeface="Arial" pitchFamily="34" charset="0"/>
            </a:rPr>
            <a:t> zur </a:t>
          </a:r>
          <a:r>
            <a:rPr lang="de-DE" sz="1100">
              <a:latin typeface="Arial" pitchFamily="34" charset="0"/>
              <a:cs typeface="Arial" pitchFamily="34" charset="0"/>
            </a:rPr>
            <a:t>Beteiligung:</a:t>
          </a:r>
        </a:p>
      </xdr:txBody>
    </xdr:sp>
    <xdr:clientData/>
  </xdr:oneCellAnchor>
  <xdr:oneCellAnchor>
    <xdr:from>
      <xdr:col>7</xdr:col>
      <xdr:colOff>190500</xdr:colOff>
      <xdr:row>13</xdr:row>
      <xdr:rowOff>123265</xdr:rowOff>
    </xdr:from>
    <xdr:ext cx="1232648" cy="649942"/>
    <xdr:sp macro="[0]!Normal_Abstimmung_Eurogruppe" textlink="">
      <xdr:nvSpPr>
        <xdr:cNvPr id="8" name="Textfeld 7"/>
        <xdr:cNvSpPr txBox="1"/>
      </xdr:nvSpPr>
      <xdr:spPr>
        <a:xfrm>
          <a:off x="10163735" y="2902324"/>
          <a:ext cx="1232648" cy="649942"/>
        </a:xfrm>
        <a:prstGeom prst="rect">
          <a:avLst/>
        </a:prstGeom>
        <a:solidFill>
          <a:schemeClr val="tx2">
            <a:lumMod val="60000"/>
            <a:lumOff val="4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400">
              <a:latin typeface="Arial" pitchFamily="34" charset="0"/>
              <a:cs typeface="Arial" pitchFamily="34" charset="0"/>
            </a:rPr>
            <a:t>€</a:t>
          </a:r>
        </a:p>
        <a:p>
          <a:pPr algn="ctr"/>
          <a:r>
            <a:rPr lang="de-DE" sz="1100">
              <a:latin typeface="Arial" pitchFamily="34" charset="0"/>
              <a:cs typeface="Arial" pitchFamily="34" charset="0"/>
            </a:rPr>
            <a:t>Nur</a:t>
          </a:r>
          <a:r>
            <a:rPr lang="de-DE" sz="1100" baseline="0">
              <a:latin typeface="Arial" pitchFamily="34" charset="0"/>
              <a:cs typeface="Arial" pitchFamily="34" charset="0"/>
            </a:rPr>
            <a:t> Eurogruppe stimmt ab</a:t>
          </a:r>
          <a:endParaRPr lang="de-DE" sz="1100">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963704</xdr:colOff>
      <xdr:row>66</xdr:row>
      <xdr:rowOff>11205</xdr:rowOff>
    </xdr:from>
    <xdr:to>
      <xdr:col>2</xdr:col>
      <xdr:colOff>588818</xdr:colOff>
      <xdr:row>67</xdr:row>
      <xdr:rowOff>60613</xdr:rowOff>
    </xdr:to>
    <xdr:sp macro="[0]!Sprung_238_Normal" textlink="">
      <xdr:nvSpPr>
        <xdr:cNvPr id="4" name="Textfeld 3"/>
        <xdr:cNvSpPr txBox="1"/>
      </xdr:nvSpPr>
      <xdr:spPr>
        <a:xfrm>
          <a:off x="963704" y="12766046"/>
          <a:ext cx="2950205" cy="6122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3333FF"/>
              </a:solidFill>
              <a:latin typeface="Arial" pitchFamily="34" charset="0"/>
              <a:cs typeface="Arial" pitchFamily="34" charset="0"/>
            </a:rPr>
            <a:t>&lt;&lt;=</a:t>
          </a:r>
          <a:r>
            <a:rPr lang="de-DE" sz="1100" b="1" baseline="0">
              <a:solidFill>
                <a:srgbClr val="3333FF"/>
              </a:solidFill>
              <a:latin typeface="Arial" pitchFamily="34" charset="0"/>
              <a:cs typeface="Arial" pitchFamily="34" charset="0"/>
            </a:rPr>
            <a:t> </a:t>
          </a:r>
          <a:r>
            <a:rPr lang="de-DE" sz="1100" b="1">
              <a:solidFill>
                <a:srgbClr val="3333FF"/>
              </a:solidFill>
              <a:latin typeface="Arial" pitchFamily="34" charset="0"/>
              <a:cs typeface="Arial" pitchFamily="34" charset="0"/>
            </a:rPr>
            <a:t>Wechsel</a:t>
          </a:r>
          <a:r>
            <a:rPr lang="de-DE" sz="1100" b="1" baseline="0">
              <a:solidFill>
                <a:srgbClr val="3333FF"/>
              </a:solidFill>
              <a:latin typeface="Arial" pitchFamily="34" charset="0"/>
              <a:cs typeface="Arial" pitchFamily="34" charset="0"/>
            </a:rPr>
            <a:t> zur Abstimmung nach dem normalen Verfahren (mit dem gewählten Stimmverhalten und teilnehmenden MS)</a:t>
          </a:r>
          <a:endParaRPr lang="de-DE" sz="1100" b="1">
            <a:solidFill>
              <a:srgbClr val="3333FF"/>
            </a:solidFill>
            <a:latin typeface="Arial" pitchFamily="34" charset="0"/>
            <a:cs typeface="Arial" pitchFamily="34" charset="0"/>
          </a:endParaRPr>
        </a:p>
      </xdr:txBody>
    </xdr:sp>
    <xdr:clientData/>
  </xdr:twoCellAnchor>
  <xdr:oneCellAnchor>
    <xdr:from>
      <xdr:col>6</xdr:col>
      <xdr:colOff>224118</xdr:colOff>
      <xdr:row>7</xdr:row>
      <xdr:rowOff>0</xdr:rowOff>
    </xdr:from>
    <xdr:ext cx="1232647" cy="649942"/>
    <xdr:sp macro="[0]!Art_238_II_Reset" textlink="">
      <xdr:nvSpPr>
        <xdr:cNvPr id="6" name="Textfeld 5"/>
        <xdr:cNvSpPr txBox="1"/>
      </xdr:nvSpPr>
      <xdr:spPr>
        <a:xfrm>
          <a:off x="8415618" y="1882588"/>
          <a:ext cx="1232647" cy="649942"/>
        </a:xfrm>
        <a:prstGeom prst="rect">
          <a:avLst/>
        </a:prstGeom>
        <a:solidFill>
          <a:schemeClr val="accent2">
            <a:lumMod val="60000"/>
            <a:lumOff val="4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100">
              <a:solidFill>
                <a:schemeClr val="tx1"/>
              </a:solidFill>
              <a:latin typeface="Arial" pitchFamily="34" charset="0"/>
              <a:cs typeface="Arial" pitchFamily="34" charset="0"/>
            </a:rPr>
            <a:t>(</a:t>
          </a:r>
          <a:r>
            <a:rPr lang="de-DE" sz="1100">
              <a:solidFill>
                <a:srgbClr val="FF0000"/>
              </a:solidFill>
              <a:latin typeface="Arial" pitchFamily="34" charset="0"/>
              <a:cs typeface="Arial" pitchFamily="34" charset="0"/>
            </a:rPr>
            <a:t>RESET</a:t>
          </a:r>
          <a:r>
            <a:rPr lang="de-DE" sz="1100">
              <a:solidFill>
                <a:schemeClr val="tx1"/>
              </a:solidFill>
              <a:latin typeface="Arial" pitchFamily="34" charset="0"/>
              <a:cs typeface="Arial" pitchFamily="34" charset="0"/>
            </a:rPr>
            <a:t>)</a:t>
          </a:r>
        </a:p>
        <a:p>
          <a:pPr algn="ctr"/>
          <a:r>
            <a:rPr lang="de-DE" sz="1100">
              <a:solidFill>
                <a:schemeClr val="tx1"/>
              </a:solidFill>
              <a:latin typeface="Arial" pitchFamily="34" charset="0"/>
              <a:cs typeface="Arial" pitchFamily="34" charset="0"/>
            </a:rPr>
            <a:t>Alle Eingaben</a:t>
          </a:r>
        </a:p>
        <a:p>
          <a:pPr algn="ctr"/>
          <a:r>
            <a:rPr lang="de-DE" sz="1100">
              <a:solidFill>
                <a:schemeClr val="tx1"/>
              </a:solidFill>
              <a:latin typeface="Arial" pitchFamily="34" charset="0"/>
              <a:cs typeface="Arial" pitchFamily="34" charset="0"/>
            </a:rPr>
            <a:t>zurücksetzen.</a:t>
          </a:r>
        </a:p>
      </xdr:txBody>
    </xdr:sp>
    <xdr:clientData/>
  </xdr:oneCellAnchor>
  <xdr:oneCellAnchor>
    <xdr:from>
      <xdr:col>6</xdr:col>
      <xdr:colOff>235324</xdr:colOff>
      <xdr:row>11</xdr:row>
      <xdr:rowOff>112067</xdr:rowOff>
    </xdr:from>
    <xdr:ext cx="1232648" cy="649942"/>
    <xdr:sp macro="[0]!Art_238_II_alleMS" textlink="">
      <xdr:nvSpPr>
        <xdr:cNvPr id="7" name="Textfeld 6"/>
        <xdr:cNvSpPr txBox="1"/>
      </xdr:nvSpPr>
      <xdr:spPr>
        <a:xfrm>
          <a:off x="8426824" y="3451420"/>
          <a:ext cx="1232648" cy="649942"/>
        </a:xfrm>
        <a:prstGeom prst="rect">
          <a:avLst/>
        </a:prstGeom>
        <a:solidFill>
          <a:schemeClr val="accent3"/>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100">
              <a:latin typeface="Arial" pitchFamily="34" charset="0"/>
              <a:cs typeface="Arial" pitchFamily="34" charset="0"/>
            </a:rPr>
            <a:t>Alle MS dürfen abstimmen</a:t>
          </a:r>
        </a:p>
      </xdr:txBody>
    </xdr:sp>
    <xdr:clientData/>
  </xdr:oneCellAnchor>
  <xdr:oneCellAnchor>
    <xdr:from>
      <xdr:col>6</xdr:col>
      <xdr:colOff>235325</xdr:colOff>
      <xdr:row>8</xdr:row>
      <xdr:rowOff>89648</xdr:rowOff>
    </xdr:from>
    <xdr:ext cx="1232647" cy="416781"/>
    <xdr:sp macro="" textlink="">
      <xdr:nvSpPr>
        <xdr:cNvPr id="8" name="Textfeld 7"/>
        <xdr:cNvSpPr txBox="1"/>
      </xdr:nvSpPr>
      <xdr:spPr>
        <a:xfrm>
          <a:off x="8426825" y="2958354"/>
          <a:ext cx="1232647" cy="41678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latin typeface="Arial" pitchFamily="34" charset="0"/>
              <a:cs typeface="Arial" pitchFamily="34" charset="0"/>
            </a:rPr>
            <a:t>Schnellauswahl</a:t>
          </a:r>
          <a:r>
            <a:rPr lang="de-DE" sz="1100" baseline="0">
              <a:latin typeface="Arial" pitchFamily="34" charset="0"/>
              <a:cs typeface="Arial" pitchFamily="34" charset="0"/>
            </a:rPr>
            <a:t> zur </a:t>
          </a:r>
          <a:r>
            <a:rPr lang="de-DE" sz="1100">
              <a:latin typeface="Arial" pitchFamily="34" charset="0"/>
              <a:cs typeface="Arial" pitchFamily="34" charset="0"/>
            </a:rPr>
            <a:t>Beteiligung:</a:t>
          </a:r>
          <a:r>
            <a:rPr lang="de-DE" sz="1100" baseline="30000">
              <a:latin typeface="Arial" pitchFamily="34" charset="0"/>
              <a:cs typeface="Arial" pitchFamily="34" charset="0"/>
            </a:rPr>
            <a:t>5</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D13"/>
  <sheetViews>
    <sheetView showGridLines="0" tabSelected="1" zoomScaleNormal="100" workbookViewId="0">
      <selection activeCell="F9" sqref="F9"/>
    </sheetView>
  </sheetViews>
  <sheetFormatPr baseColWidth="10" defaultRowHeight="12.75" x14ac:dyDescent="0.2"/>
  <cols>
    <col min="2" max="2" width="29.42578125" customWidth="1"/>
    <col min="3" max="3" width="30" customWidth="1"/>
    <col min="4" max="4" width="11" customWidth="1"/>
  </cols>
  <sheetData>
    <row r="1" spans="1:4" x14ac:dyDescent="0.2">
      <c r="A1" s="198"/>
      <c r="B1" s="199"/>
      <c r="C1" s="199"/>
      <c r="D1" s="200"/>
    </row>
    <row r="2" spans="1:4" x14ac:dyDescent="0.2">
      <c r="A2" s="201"/>
      <c r="B2" s="194"/>
      <c r="C2" s="194"/>
      <c r="D2" s="202"/>
    </row>
    <row r="3" spans="1:4" x14ac:dyDescent="0.2">
      <c r="A3" s="201"/>
      <c r="B3" s="281" t="s">
        <v>68</v>
      </c>
      <c r="C3" s="281"/>
      <c r="D3" s="276"/>
    </row>
    <row r="4" spans="1:4" x14ac:dyDescent="0.2">
      <c r="A4" s="201"/>
      <c r="B4" s="194"/>
      <c r="C4" s="194"/>
      <c r="D4" s="202"/>
    </row>
    <row r="5" spans="1:4" ht="28.5" customHeight="1" x14ac:dyDescent="0.2">
      <c r="A5" s="201"/>
      <c r="B5" s="282" t="s">
        <v>63</v>
      </c>
      <c r="C5" s="282"/>
      <c r="D5" s="277"/>
    </row>
    <row r="6" spans="1:4" x14ac:dyDescent="0.2">
      <c r="A6" s="201"/>
      <c r="B6" s="194"/>
      <c r="C6" s="194"/>
      <c r="D6" s="202"/>
    </row>
    <row r="7" spans="1:4" ht="49.5" customHeight="1" x14ac:dyDescent="0.2">
      <c r="A7" s="201"/>
      <c r="B7" s="195" t="s">
        <v>64</v>
      </c>
      <c r="C7" s="196" t="s">
        <v>65</v>
      </c>
      <c r="D7" s="202"/>
    </row>
    <row r="8" spans="1:4" ht="10.5" customHeight="1" x14ac:dyDescent="0.2">
      <c r="A8" s="201"/>
      <c r="B8" s="195"/>
      <c r="C8" s="196"/>
      <c r="D8" s="202"/>
    </row>
    <row r="9" spans="1:4" ht="25.5" x14ac:dyDescent="0.2">
      <c r="A9" s="201"/>
      <c r="B9" s="203" t="s">
        <v>90</v>
      </c>
      <c r="C9" s="203" t="s">
        <v>66</v>
      </c>
      <c r="D9" s="202"/>
    </row>
    <row r="10" spans="1:4" ht="25.5" x14ac:dyDescent="0.2">
      <c r="A10" s="201"/>
      <c r="B10" s="203" t="s">
        <v>89</v>
      </c>
      <c r="C10" s="203" t="s">
        <v>67</v>
      </c>
      <c r="D10" s="202"/>
    </row>
    <row r="11" spans="1:4" x14ac:dyDescent="0.2">
      <c r="A11" s="201"/>
      <c r="B11" s="197"/>
      <c r="C11" s="197"/>
      <c r="D11" s="202"/>
    </row>
    <row r="12" spans="1:4" ht="82.5" customHeight="1" x14ac:dyDescent="0.2">
      <c r="A12" s="201"/>
      <c r="B12" s="197"/>
      <c r="C12" s="210" t="s">
        <v>91</v>
      </c>
      <c r="D12" s="202"/>
    </row>
    <row r="13" spans="1:4" ht="27" customHeight="1" thickBot="1" x14ac:dyDescent="0.25">
      <c r="A13" s="278" t="s">
        <v>81</v>
      </c>
      <c r="B13" s="279"/>
      <c r="C13" s="279"/>
      <c r="D13" s="280"/>
    </row>
  </sheetData>
  <mergeCells count="3">
    <mergeCell ref="A13:D13"/>
    <mergeCell ref="B3:C3"/>
    <mergeCell ref="B5:C5"/>
  </mergeCells>
  <pageMargins left="0.7" right="0.7" top="0.78740157499999996" bottom="0.78740157499999996"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FF"/>
    <pageSetUpPr fitToPage="1"/>
  </sheetPr>
  <dimension ref="A1:IX75"/>
  <sheetViews>
    <sheetView showGridLines="0" showRowColHeaders="0" zoomScale="110" zoomScaleNormal="110" workbookViewId="0">
      <selection activeCell="B14" sqref="B14"/>
    </sheetView>
  </sheetViews>
  <sheetFormatPr baseColWidth="10" defaultColWidth="9.140625" defaultRowHeight="12.75" x14ac:dyDescent="0.2"/>
  <cols>
    <col min="1" max="1" width="39.28515625" style="13" customWidth="1"/>
    <col min="2" max="2" width="12.140625" style="13" customWidth="1"/>
    <col min="3" max="3" width="14" style="13" customWidth="1"/>
    <col min="4" max="4" width="17.140625" style="13"/>
    <col min="5" max="5" width="22.140625" style="14"/>
    <col min="6" max="6" width="21.140625" style="13"/>
    <col min="7" max="7" width="19.85546875" style="13" customWidth="1"/>
    <col min="8" max="9" width="9.140625" style="13"/>
    <col min="10" max="10" width="23.85546875" style="13"/>
    <col min="11" max="11" width="13.42578125" style="13"/>
    <col min="12" max="12" width="15.42578125" style="13"/>
    <col min="13" max="13" width="17.85546875" style="13"/>
    <col min="14" max="14" width="0" style="13" hidden="1"/>
    <col min="15" max="258" width="11.42578125" style="13"/>
    <col min="259" max="1026" width="11.42578125" style="41"/>
    <col min="1027" max="16384" width="9.140625" style="41"/>
  </cols>
  <sheetData>
    <row r="1" spans="1:258" x14ac:dyDescent="0.2">
      <c r="A1" s="204"/>
      <c r="B1" s="204"/>
      <c r="C1" s="205"/>
      <c r="D1" s="205"/>
      <c r="E1" s="206"/>
      <c r="F1" s="205"/>
      <c r="G1" s="205"/>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row>
    <row r="2" spans="1:258" s="15" customFormat="1" ht="21" x14ac:dyDescent="0.25">
      <c r="A2" s="209"/>
      <c r="B2" s="209"/>
      <c r="C2" s="283" t="s">
        <v>70</v>
      </c>
      <c r="D2" s="283"/>
      <c r="E2" s="283"/>
      <c r="F2" s="283"/>
      <c r="G2" s="205"/>
      <c r="H2" s="13"/>
      <c r="I2" s="13"/>
      <c r="J2" s="13"/>
    </row>
    <row r="3" spans="1:258" s="15" customFormat="1" ht="12.75" customHeight="1" x14ac:dyDescent="0.25">
      <c r="A3" s="207"/>
      <c r="B3" s="207"/>
      <c r="C3" s="287"/>
      <c r="D3" s="287"/>
      <c r="E3" s="208"/>
      <c r="F3" s="205"/>
      <c r="G3" s="205"/>
      <c r="H3" s="13"/>
      <c r="I3" s="13"/>
      <c r="J3" s="13"/>
    </row>
    <row r="4" spans="1:258" s="42" customFormat="1" ht="60.75" customHeight="1" x14ac:dyDescent="0.2">
      <c r="A4" s="18" t="s">
        <v>0</v>
      </c>
      <c r="B4" s="233" t="s">
        <v>106</v>
      </c>
      <c r="C4" s="19" t="s">
        <v>1</v>
      </c>
      <c r="D4" s="19" t="s">
        <v>71</v>
      </c>
      <c r="E4" s="20" t="s">
        <v>2</v>
      </c>
      <c r="F4" s="223" t="s">
        <v>3</v>
      </c>
      <c r="G4" s="227"/>
      <c r="I4" s="43"/>
      <c r="J4" s="44"/>
      <c r="K4" s="45"/>
    </row>
    <row r="5" spans="1:258" s="29" customFormat="1" x14ac:dyDescent="0.2">
      <c r="A5" s="21" t="s">
        <v>4</v>
      </c>
      <c r="B5" s="272" t="s">
        <v>95</v>
      </c>
      <c r="C5" s="4" t="s">
        <v>17</v>
      </c>
      <c r="D5" s="46">
        <f>IF(B5="x",82719022,0)</f>
        <v>82719022</v>
      </c>
      <c r="E5" s="47">
        <f>IF(AND(C5="j",B5="x"),1*D5,0)</f>
        <v>82719022</v>
      </c>
      <c r="F5" s="224">
        <f>IF(AND(C5&lt;&gt;"j",B5="x"),1*D5,0)</f>
        <v>0</v>
      </c>
      <c r="G5" s="227"/>
      <c r="H5" s="12"/>
      <c r="I5" s="48"/>
      <c r="J5" s="49"/>
      <c r="K5" s="50"/>
    </row>
    <row r="6" spans="1:258" s="29" customFormat="1" x14ac:dyDescent="0.2">
      <c r="A6" s="22" t="s">
        <v>5</v>
      </c>
      <c r="B6" s="273" t="s">
        <v>95</v>
      </c>
      <c r="C6" s="2" t="s">
        <v>17</v>
      </c>
      <c r="D6" s="222">
        <f>IF(B6="x",67221943,0)</f>
        <v>67221943</v>
      </c>
      <c r="E6" s="220">
        <f t="shared" ref="E6:E31" si="0">IF(AND(C6="j",B6="x"),1*D6,0)</f>
        <v>67221943</v>
      </c>
      <c r="F6" s="225">
        <f t="shared" ref="F6:F31" si="1">IF(AND(C6&lt;&gt;"j",B6="x"),1*D6,0)</f>
        <v>0</v>
      </c>
      <c r="G6" s="228"/>
      <c r="H6" s="12"/>
      <c r="I6" s="48"/>
      <c r="J6" s="49"/>
      <c r="K6" s="50"/>
    </row>
    <row r="7" spans="1:258" s="29" customFormat="1" x14ac:dyDescent="0.2">
      <c r="A7" s="21" t="s">
        <v>6</v>
      </c>
      <c r="B7" s="272" t="s">
        <v>95</v>
      </c>
      <c r="C7" s="4" t="s">
        <v>17</v>
      </c>
      <c r="D7" s="46">
        <f>IF(B7="x",66238007,0)</f>
        <v>66238007</v>
      </c>
      <c r="E7" s="47">
        <f t="shared" si="0"/>
        <v>66238007</v>
      </c>
      <c r="F7" s="224">
        <f t="shared" si="1"/>
        <v>0</v>
      </c>
      <c r="G7" s="229"/>
      <c r="H7" s="12"/>
      <c r="I7" s="48"/>
      <c r="J7" s="49"/>
      <c r="K7" s="50"/>
    </row>
    <row r="8" spans="1:258" s="29" customFormat="1" x14ac:dyDescent="0.2">
      <c r="A8" s="22" t="s">
        <v>7</v>
      </c>
      <c r="B8" s="273" t="s">
        <v>95</v>
      </c>
      <c r="C8" s="2" t="s">
        <v>17</v>
      </c>
      <c r="D8" s="222">
        <f>IF(B8="x",61166142,0)</f>
        <v>61166142</v>
      </c>
      <c r="E8" s="220">
        <f t="shared" si="0"/>
        <v>61166142</v>
      </c>
      <c r="F8" s="225">
        <f t="shared" si="1"/>
        <v>0</v>
      </c>
      <c r="G8" s="228"/>
      <c r="H8" s="12"/>
      <c r="I8" s="48"/>
      <c r="J8" s="49"/>
      <c r="K8" s="50"/>
    </row>
    <row r="9" spans="1:258" s="29" customFormat="1" x14ac:dyDescent="0.2">
      <c r="A9" s="21" t="s">
        <v>8</v>
      </c>
      <c r="B9" s="272" t="s">
        <v>95</v>
      </c>
      <c r="C9" s="4" t="s">
        <v>17</v>
      </c>
      <c r="D9" s="46">
        <f>IF(B9="x",46659302,0)</f>
        <v>46659302</v>
      </c>
      <c r="E9" s="47">
        <f t="shared" si="0"/>
        <v>46659302</v>
      </c>
      <c r="F9" s="224">
        <f t="shared" si="1"/>
        <v>0</v>
      </c>
      <c r="G9" s="229"/>
      <c r="H9" s="12"/>
      <c r="I9" s="48"/>
      <c r="J9" s="49"/>
      <c r="K9" s="50"/>
    </row>
    <row r="10" spans="1:258" s="29" customFormat="1" x14ac:dyDescent="0.2">
      <c r="A10" s="22" t="s">
        <v>9</v>
      </c>
      <c r="B10" s="273" t="s">
        <v>95</v>
      </c>
      <c r="C10" s="2" t="s">
        <v>17</v>
      </c>
      <c r="D10" s="222">
        <f>IF(B10="x",37976687,0)</f>
        <v>37976687</v>
      </c>
      <c r="E10" s="220">
        <f t="shared" si="0"/>
        <v>37976687</v>
      </c>
      <c r="F10" s="225">
        <f t="shared" si="1"/>
        <v>0</v>
      </c>
      <c r="G10" s="228"/>
      <c r="H10" s="12"/>
      <c r="I10" s="48"/>
      <c r="J10" s="49"/>
      <c r="K10" s="50"/>
    </row>
    <row r="11" spans="1:258" s="29" customFormat="1" x14ac:dyDescent="0.2">
      <c r="A11" s="21" t="s">
        <v>10</v>
      </c>
      <c r="B11" s="272" t="s">
        <v>95</v>
      </c>
      <c r="C11" s="4" t="s">
        <v>17</v>
      </c>
      <c r="D11" s="46">
        <f>IF(B11="x",19523621,0)</f>
        <v>19523621</v>
      </c>
      <c r="E11" s="47">
        <f t="shared" si="0"/>
        <v>19523621</v>
      </c>
      <c r="F11" s="224">
        <f t="shared" si="1"/>
        <v>0</v>
      </c>
      <c r="G11" s="229"/>
      <c r="H11" s="12"/>
      <c r="I11" s="48"/>
      <c r="J11" s="49"/>
      <c r="K11" s="50"/>
    </row>
    <row r="12" spans="1:258" s="29" customFormat="1" x14ac:dyDescent="0.2">
      <c r="A12" s="22" t="s">
        <v>11</v>
      </c>
      <c r="B12" s="273" t="s">
        <v>95</v>
      </c>
      <c r="C12" s="2" t="s">
        <v>17</v>
      </c>
      <c r="D12" s="222">
        <f>IF(B12="x",17321110,0)</f>
        <v>17321110</v>
      </c>
      <c r="E12" s="220">
        <f t="shared" si="0"/>
        <v>17321110</v>
      </c>
      <c r="F12" s="225">
        <f t="shared" si="1"/>
        <v>0</v>
      </c>
      <c r="G12" s="228"/>
      <c r="H12" s="12"/>
      <c r="I12" s="48"/>
      <c r="J12" s="49"/>
      <c r="K12" s="50"/>
    </row>
    <row r="13" spans="1:258" s="29" customFormat="1" x14ac:dyDescent="0.2">
      <c r="A13" s="21" t="s">
        <v>13</v>
      </c>
      <c r="B13" s="272" t="s">
        <v>95</v>
      </c>
      <c r="C13" s="4" t="s">
        <v>17</v>
      </c>
      <c r="D13" s="46">
        <f>IF(B13="x",11413058,0)</f>
        <v>11413058</v>
      </c>
      <c r="E13" s="47">
        <f t="shared" si="0"/>
        <v>11413058</v>
      </c>
      <c r="F13" s="224">
        <f t="shared" si="1"/>
        <v>0</v>
      </c>
      <c r="G13" s="229"/>
      <c r="H13" s="12"/>
      <c r="I13" s="48"/>
      <c r="J13" s="49"/>
      <c r="K13" s="50"/>
    </row>
    <row r="14" spans="1:258" s="29" customFormat="1" x14ac:dyDescent="0.2">
      <c r="A14" s="22" t="s">
        <v>12</v>
      </c>
      <c r="B14" s="273" t="s">
        <v>95</v>
      </c>
      <c r="C14" s="2" t="s">
        <v>17</v>
      </c>
      <c r="D14" s="222">
        <f>IF(B14="x",10738928,0)</f>
        <v>10738928</v>
      </c>
      <c r="E14" s="220">
        <f t="shared" si="0"/>
        <v>10738928</v>
      </c>
      <c r="F14" s="225">
        <f t="shared" si="1"/>
        <v>0</v>
      </c>
      <c r="G14" s="228"/>
      <c r="H14" s="12"/>
      <c r="I14" s="48"/>
      <c r="J14" s="49"/>
      <c r="K14" s="50"/>
    </row>
    <row r="15" spans="1:258" s="29" customFormat="1" x14ac:dyDescent="0.2">
      <c r="A15" s="21" t="s">
        <v>15</v>
      </c>
      <c r="B15" s="272" t="s">
        <v>95</v>
      </c>
      <c r="C15" s="4" t="s">
        <v>17</v>
      </c>
      <c r="D15" s="46">
        <f>IF(B15="x",10493154,0)</f>
        <v>10493154</v>
      </c>
      <c r="E15" s="47">
        <f t="shared" si="0"/>
        <v>10493154</v>
      </c>
      <c r="F15" s="224">
        <f t="shared" si="1"/>
        <v>0</v>
      </c>
      <c r="G15" s="229"/>
      <c r="H15" s="12"/>
      <c r="I15" s="48"/>
      <c r="J15" s="49"/>
      <c r="K15" s="50"/>
    </row>
    <row r="16" spans="1:258" s="29" customFormat="1" x14ac:dyDescent="0.2">
      <c r="A16" s="22" t="s">
        <v>14</v>
      </c>
      <c r="B16" s="273" t="s">
        <v>95</v>
      </c>
      <c r="C16" s="2" t="s">
        <v>17</v>
      </c>
      <c r="D16" s="222">
        <f>IF(B16="x",10291027,0)</f>
        <v>10291027</v>
      </c>
      <c r="E16" s="220">
        <f t="shared" si="0"/>
        <v>10291027</v>
      </c>
      <c r="F16" s="225">
        <f t="shared" si="1"/>
        <v>0</v>
      </c>
      <c r="G16" s="228"/>
      <c r="H16" s="12"/>
      <c r="I16" s="48"/>
      <c r="J16" s="49"/>
      <c r="K16" s="50"/>
    </row>
    <row r="17" spans="1:11" s="29" customFormat="1" x14ac:dyDescent="0.2">
      <c r="A17" s="21" t="s">
        <v>16</v>
      </c>
      <c r="B17" s="272" t="s">
        <v>95</v>
      </c>
      <c r="C17" s="4" t="s">
        <v>17</v>
      </c>
      <c r="D17" s="46">
        <f>IF(B17="x",9778371,0)</f>
        <v>9778371</v>
      </c>
      <c r="E17" s="47">
        <f t="shared" si="0"/>
        <v>9778371</v>
      </c>
      <c r="F17" s="224">
        <f t="shared" si="1"/>
        <v>0</v>
      </c>
      <c r="G17" s="229"/>
      <c r="H17" s="12"/>
      <c r="I17" s="48"/>
      <c r="J17" s="49"/>
      <c r="K17" s="50"/>
    </row>
    <row r="18" spans="1:11" s="29" customFormat="1" x14ac:dyDescent="0.2">
      <c r="A18" s="22" t="s">
        <v>18</v>
      </c>
      <c r="B18" s="273" t="s">
        <v>95</v>
      </c>
      <c r="C18" s="2" t="s">
        <v>17</v>
      </c>
      <c r="D18" s="222">
        <f>IF(B18="x",10157000,0)</f>
        <v>10157000</v>
      </c>
      <c r="E18" s="220">
        <f t="shared" si="0"/>
        <v>10157000</v>
      </c>
      <c r="F18" s="225">
        <f t="shared" si="1"/>
        <v>0</v>
      </c>
      <c r="G18" s="228"/>
      <c r="H18" s="12"/>
      <c r="I18" s="48"/>
      <c r="J18" s="49"/>
      <c r="K18" s="50"/>
    </row>
    <row r="19" spans="1:11" s="29" customFormat="1" x14ac:dyDescent="0.2">
      <c r="A19" s="21" t="s">
        <v>19</v>
      </c>
      <c r="B19" s="272" t="s">
        <v>95</v>
      </c>
      <c r="C19" s="4" t="s">
        <v>17</v>
      </c>
      <c r="D19" s="46">
        <f>IF(B19="x",8802000,0)</f>
        <v>8802000</v>
      </c>
      <c r="E19" s="47">
        <f t="shared" si="0"/>
        <v>8802000</v>
      </c>
      <c r="F19" s="224">
        <f t="shared" si="1"/>
        <v>0</v>
      </c>
      <c r="G19" s="230"/>
      <c r="H19" s="12"/>
      <c r="I19" s="48"/>
      <c r="J19" s="51"/>
      <c r="K19" s="50"/>
    </row>
    <row r="20" spans="1:11" s="29" customFormat="1" x14ac:dyDescent="0.2">
      <c r="A20" s="22" t="s">
        <v>20</v>
      </c>
      <c r="B20" s="273" t="s">
        <v>95</v>
      </c>
      <c r="C20" s="2" t="s">
        <v>17</v>
      </c>
      <c r="D20" s="222">
        <f>IF(B20="x",7050034,0)</f>
        <v>7050034</v>
      </c>
      <c r="E20" s="220">
        <f t="shared" si="0"/>
        <v>7050034</v>
      </c>
      <c r="F20" s="225">
        <f t="shared" si="1"/>
        <v>0</v>
      </c>
      <c r="G20" s="228"/>
      <c r="H20" s="12"/>
      <c r="I20" s="48"/>
      <c r="J20" s="49"/>
      <c r="K20" s="50"/>
    </row>
    <row r="21" spans="1:11" s="29" customFormat="1" x14ac:dyDescent="0.2">
      <c r="A21" s="23" t="s">
        <v>22</v>
      </c>
      <c r="B21" s="274" t="s">
        <v>95</v>
      </c>
      <c r="C21" s="7" t="s">
        <v>17</v>
      </c>
      <c r="D21" s="46">
        <f>IF(B21="x",5774877,0)</f>
        <v>5774877</v>
      </c>
      <c r="E21" s="47">
        <f t="shared" si="0"/>
        <v>5774877</v>
      </c>
      <c r="F21" s="224">
        <f t="shared" si="1"/>
        <v>0</v>
      </c>
      <c r="G21" s="231"/>
      <c r="H21" s="12"/>
      <c r="I21" s="48"/>
      <c r="J21" s="49"/>
      <c r="K21" s="50"/>
    </row>
    <row r="22" spans="1:11" s="29" customFormat="1" x14ac:dyDescent="0.2">
      <c r="A22" s="24" t="s">
        <v>24</v>
      </c>
      <c r="B22" s="275" t="s">
        <v>95</v>
      </c>
      <c r="C22" s="9" t="s">
        <v>17</v>
      </c>
      <c r="D22" s="221">
        <f>IF(B22="x",5501930,0)</f>
        <v>5501930</v>
      </c>
      <c r="E22" s="219">
        <f t="shared" si="0"/>
        <v>5501930</v>
      </c>
      <c r="F22" s="226">
        <f t="shared" si="1"/>
        <v>0</v>
      </c>
      <c r="G22" s="232"/>
      <c r="H22" s="12"/>
      <c r="I22" s="48"/>
      <c r="J22" s="49"/>
      <c r="K22" s="50"/>
    </row>
    <row r="23" spans="1:11" s="29" customFormat="1" x14ac:dyDescent="0.2">
      <c r="A23" s="23" t="s">
        <v>23</v>
      </c>
      <c r="B23" s="274" t="s">
        <v>95</v>
      </c>
      <c r="C23" s="7" t="s">
        <v>17</v>
      </c>
      <c r="D23" s="46">
        <f>IF(B23="x",5443120,0)</f>
        <v>5443120</v>
      </c>
      <c r="E23" s="47">
        <f t="shared" si="0"/>
        <v>5443120</v>
      </c>
      <c r="F23" s="224">
        <f t="shared" si="1"/>
        <v>0</v>
      </c>
      <c r="G23" s="231"/>
      <c r="H23" s="12"/>
      <c r="I23" s="48"/>
      <c r="J23" s="49"/>
      <c r="K23" s="50"/>
    </row>
    <row r="24" spans="1:11" s="29" customFormat="1" x14ac:dyDescent="0.2">
      <c r="A24" s="24" t="s">
        <v>25</v>
      </c>
      <c r="B24" s="275" t="s">
        <v>95</v>
      </c>
      <c r="C24" s="9" t="s">
        <v>17</v>
      </c>
      <c r="D24" s="221">
        <f>IF(B24="x",4830392,0)</f>
        <v>4830392</v>
      </c>
      <c r="E24" s="219">
        <f t="shared" si="0"/>
        <v>4830392</v>
      </c>
      <c r="F24" s="226">
        <f t="shared" si="1"/>
        <v>0</v>
      </c>
      <c r="G24" s="232"/>
      <c r="H24" s="12"/>
      <c r="I24" s="48"/>
      <c r="J24" s="49"/>
      <c r="K24" s="50"/>
    </row>
    <row r="25" spans="1:11" s="29" customFormat="1" x14ac:dyDescent="0.2">
      <c r="A25" s="23" t="s">
        <v>21</v>
      </c>
      <c r="B25" s="274" t="s">
        <v>95</v>
      </c>
      <c r="C25" s="7" t="s">
        <v>17</v>
      </c>
      <c r="D25" s="46">
        <f>IF(B25="x",4105493,0)</f>
        <v>4105493</v>
      </c>
      <c r="E25" s="47">
        <f t="shared" si="0"/>
        <v>4105493</v>
      </c>
      <c r="F25" s="224">
        <f t="shared" si="1"/>
        <v>0</v>
      </c>
      <c r="G25" s="231"/>
      <c r="H25" s="12"/>
      <c r="I25" s="48"/>
      <c r="J25" s="49"/>
      <c r="K25" s="50"/>
    </row>
    <row r="26" spans="1:11" s="29" customFormat="1" x14ac:dyDescent="0.2">
      <c r="A26" s="24" t="s">
        <v>26</v>
      </c>
      <c r="B26" s="275" t="s">
        <v>95</v>
      </c>
      <c r="C26" s="9" t="s">
        <v>17</v>
      </c>
      <c r="D26" s="221">
        <f>IF(B26="x",2808901,0)</f>
        <v>2808901</v>
      </c>
      <c r="E26" s="219">
        <f t="shared" si="0"/>
        <v>2808901</v>
      </c>
      <c r="F26" s="226">
        <f t="shared" si="1"/>
        <v>0</v>
      </c>
      <c r="G26" s="232"/>
      <c r="H26" s="12"/>
      <c r="I26" s="48"/>
      <c r="J26" s="49"/>
      <c r="K26" s="50"/>
    </row>
    <row r="27" spans="1:11" s="29" customFormat="1" x14ac:dyDescent="0.2">
      <c r="A27" s="23" t="s">
        <v>27</v>
      </c>
      <c r="B27" s="274" t="s">
        <v>95</v>
      </c>
      <c r="C27" s="7" t="s">
        <v>17</v>
      </c>
      <c r="D27" s="46">
        <f>IF(B27="x",2066880,0)</f>
        <v>2066880</v>
      </c>
      <c r="E27" s="47">
        <f t="shared" si="0"/>
        <v>2066880</v>
      </c>
      <c r="F27" s="224">
        <f t="shared" si="1"/>
        <v>0</v>
      </c>
      <c r="G27" s="231"/>
      <c r="H27" s="12"/>
      <c r="I27" s="48"/>
      <c r="J27" s="49"/>
      <c r="K27" s="50"/>
    </row>
    <row r="28" spans="1:11" s="29" customFormat="1" x14ac:dyDescent="0.2">
      <c r="A28" s="24" t="s">
        <v>28</v>
      </c>
      <c r="B28" s="275" t="s">
        <v>95</v>
      </c>
      <c r="C28" s="9" t="s">
        <v>17</v>
      </c>
      <c r="D28" s="221">
        <f>IF(B28="x",1934379,0)</f>
        <v>1934379</v>
      </c>
      <c r="E28" s="219">
        <f t="shared" si="0"/>
        <v>1934379</v>
      </c>
      <c r="F28" s="226">
        <f t="shared" si="1"/>
        <v>0</v>
      </c>
      <c r="G28" s="232"/>
      <c r="H28" s="12"/>
      <c r="I28" s="48"/>
      <c r="J28" s="49"/>
      <c r="K28" s="50"/>
    </row>
    <row r="29" spans="1:11" s="29" customFormat="1" x14ac:dyDescent="0.2">
      <c r="A29" s="23" t="s">
        <v>29</v>
      </c>
      <c r="B29" s="274" t="s">
        <v>95</v>
      </c>
      <c r="C29" s="7" t="s">
        <v>17</v>
      </c>
      <c r="D29" s="46">
        <f>IF(B29="x",1319133,0)</f>
        <v>1319133</v>
      </c>
      <c r="E29" s="47">
        <f t="shared" si="0"/>
        <v>1319133</v>
      </c>
      <c r="F29" s="224">
        <f t="shared" si="1"/>
        <v>0</v>
      </c>
      <c r="G29" s="231"/>
      <c r="H29" s="12"/>
      <c r="I29" s="48"/>
      <c r="J29" s="49"/>
      <c r="K29" s="50"/>
    </row>
    <row r="30" spans="1:11" s="29" customFormat="1" x14ac:dyDescent="0.2">
      <c r="A30" s="24" t="s">
        <v>30</v>
      </c>
      <c r="B30" s="275" t="s">
        <v>95</v>
      </c>
      <c r="C30" s="9" t="s">
        <v>17</v>
      </c>
      <c r="D30" s="221">
        <f>IF(B30="x",864236,0)</f>
        <v>864236</v>
      </c>
      <c r="E30" s="219">
        <f t="shared" si="0"/>
        <v>864236</v>
      </c>
      <c r="F30" s="226">
        <f t="shared" si="1"/>
        <v>0</v>
      </c>
      <c r="G30" s="232"/>
      <c r="H30" s="12"/>
      <c r="I30" s="48"/>
      <c r="J30" s="49"/>
      <c r="K30" s="50"/>
    </row>
    <row r="31" spans="1:11" s="29" customFormat="1" x14ac:dyDescent="0.2">
      <c r="A31" s="23" t="s">
        <v>31</v>
      </c>
      <c r="B31" s="274" t="s">
        <v>95</v>
      </c>
      <c r="C31" s="7" t="s">
        <v>17</v>
      </c>
      <c r="D31" s="46">
        <f>IF(B31="x",600124,0)</f>
        <v>600124</v>
      </c>
      <c r="E31" s="47">
        <f t="shared" si="0"/>
        <v>600124</v>
      </c>
      <c r="F31" s="224">
        <f t="shared" si="1"/>
        <v>0</v>
      </c>
      <c r="G31" s="231"/>
      <c r="H31" s="12"/>
      <c r="I31" s="48"/>
      <c r="J31" s="49"/>
      <c r="K31" s="50"/>
    </row>
    <row r="32" spans="1:11" s="29" customFormat="1" x14ac:dyDescent="0.2">
      <c r="A32" s="24" t="s">
        <v>32</v>
      </c>
      <c r="B32" s="275" t="s">
        <v>95</v>
      </c>
      <c r="C32" s="9" t="s">
        <v>17</v>
      </c>
      <c r="D32" s="221">
        <f>IF(B32="x",475701,0)</f>
        <v>475701</v>
      </c>
      <c r="E32" s="219">
        <f>IF(C32="j",1*D32,0)</f>
        <v>475701</v>
      </c>
      <c r="F32" s="226">
        <f>IF(C32&lt;&gt;"j",1*D32,0)</f>
        <v>0</v>
      </c>
      <c r="G32" s="232"/>
      <c r="H32" s="12"/>
      <c r="I32" s="48"/>
      <c r="J32" s="49"/>
      <c r="K32" s="50"/>
    </row>
    <row r="33" spans="1:258" s="29" customFormat="1" x14ac:dyDescent="0.2">
      <c r="A33" s="39" t="s">
        <v>96</v>
      </c>
      <c r="B33" s="53">
        <f>COUNTIF(B5:B32,"X")</f>
        <v>28</v>
      </c>
      <c r="C33" s="67">
        <f>'Technische Tabelle'!I34</f>
        <v>28</v>
      </c>
      <c r="D33" s="52">
        <f>SUM(D5:D32)</f>
        <v>513274572</v>
      </c>
      <c r="E33" s="54">
        <f>SUM(E5:E32)</f>
        <v>513274572</v>
      </c>
      <c r="F33" s="54">
        <f>SUM(F5:F32)</f>
        <v>0</v>
      </c>
      <c r="G33" s="13"/>
      <c r="H33" s="27"/>
      <c r="I33" s="55"/>
      <c r="J33" s="49"/>
      <c r="K33" s="56"/>
    </row>
    <row r="34" spans="1:258" ht="15" x14ac:dyDescent="0.2">
      <c r="A34" s="25"/>
      <c r="G34" s="57"/>
      <c r="H34" s="29"/>
      <c r="I34" s="29"/>
      <c r="J34" s="29"/>
      <c r="K34" s="58"/>
      <c r="L34" s="58"/>
      <c r="M34" s="29"/>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c r="IV34" s="41"/>
      <c r="IW34" s="41"/>
      <c r="IX34" s="41"/>
    </row>
    <row r="35" spans="1:258" s="57" customFormat="1" ht="18" x14ac:dyDescent="0.25">
      <c r="A35" s="26" t="s">
        <v>33</v>
      </c>
      <c r="B35" s="26"/>
      <c r="C35" s="10" t="str">
        <f>IF(C36&gt;=C37,"Ja","Nein")</f>
        <v>Ja</v>
      </c>
      <c r="D35" s="13"/>
      <c r="I35" s="30"/>
      <c r="J35" s="59"/>
      <c r="K35" s="59"/>
      <c r="L35" s="29"/>
      <c r="M35" s="29"/>
    </row>
    <row r="36" spans="1:258" s="57" customFormat="1" ht="12.75" customHeight="1" x14ac:dyDescent="0.2">
      <c r="A36" s="27" t="s">
        <v>34</v>
      </c>
      <c r="B36" s="27"/>
      <c r="C36" s="60">
        <f>C33</f>
        <v>28</v>
      </c>
      <c r="D36" s="61"/>
      <c r="G36" s="29"/>
      <c r="H36" s="27"/>
      <c r="I36" s="27"/>
      <c r="K36" s="61"/>
      <c r="L36" s="29"/>
      <c r="M36" s="29"/>
    </row>
    <row r="37" spans="1:258" s="29" customFormat="1" ht="15" x14ac:dyDescent="0.2">
      <c r="A37" s="28" t="s">
        <v>72</v>
      </c>
      <c r="B37" s="28"/>
      <c r="C37" s="62">
        <f>ROUNDUP(B33*0.55,0)</f>
        <v>16</v>
      </c>
      <c r="D37" s="63"/>
      <c r="H37" s="27"/>
      <c r="I37" s="28"/>
      <c r="K37" s="64"/>
      <c r="M37" s="57"/>
    </row>
    <row r="38" spans="1:258" s="29" customFormat="1" ht="12.75" customHeight="1" x14ac:dyDescent="0.25">
      <c r="G38" s="57"/>
      <c r="H38" s="57"/>
      <c r="I38" s="65"/>
      <c r="J38" s="57"/>
      <c r="L38" s="57"/>
      <c r="M38" s="57"/>
    </row>
    <row r="39" spans="1:258" s="57" customFormat="1" ht="18" customHeight="1" x14ac:dyDescent="0.25">
      <c r="A39" s="26" t="s">
        <v>87</v>
      </c>
      <c r="B39" s="26"/>
      <c r="C39" s="31"/>
      <c r="D39" s="10" t="str">
        <f>IF(D40&gt;=D41,"Ja","Nein")</f>
        <v>Ja</v>
      </c>
      <c r="I39" s="30"/>
      <c r="K39" s="66"/>
      <c r="M39" s="66"/>
    </row>
    <row r="40" spans="1:258" s="57" customFormat="1" ht="16.5" customHeight="1" x14ac:dyDescent="0.2">
      <c r="A40" s="27" t="s">
        <v>35</v>
      </c>
      <c r="B40" s="27"/>
      <c r="D40" s="67">
        <f>E33</f>
        <v>513274572</v>
      </c>
      <c r="G40" s="29"/>
      <c r="H40" s="29"/>
      <c r="I40" s="27"/>
      <c r="K40" s="29"/>
      <c r="L40" s="29"/>
      <c r="M40" s="68"/>
    </row>
    <row r="41" spans="1:258" s="29" customFormat="1" ht="18" customHeight="1" x14ac:dyDescent="0.25">
      <c r="A41" s="28" t="s">
        <v>36</v>
      </c>
      <c r="B41" s="28"/>
      <c r="D41" s="69">
        <f>0.65*D33</f>
        <v>333628471.80000001</v>
      </c>
      <c r="F41" s="94"/>
      <c r="G41" s="59"/>
      <c r="I41" s="28"/>
      <c r="M41" s="68"/>
    </row>
    <row r="42" spans="1:258" s="94" customFormat="1" ht="12.75" customHeight="1" x14ac:dyDescent="0.2">
      <c r="F42" s="95"/>
      <c r="G42" s="95"/>
      <c r="J42" s="96"/>
      <c r="M42" s="97"/>
    </row>
    <row r="43" spans="1:258" s="29" customFormat="1" ht="18" customHeight="1" x14ac:dyDescent="0.25">
      <c r="A43" s="26" t="s">
        <v>73</v>
      </c>
      <c r="B43" s="26"/>
      <c r="C43" s="70"/>
      <c r="D43" s="71"/>
      <c r="E43" s="10" t="str">
        <f>IF(B33=28, IF(C35="Nein","Ja",IF(E44&gt;=4,IF(E47&gt;E48,"Ja","Nein"), "Nein")), 'Technische Tabelle'!L36)</f>
        <v>Nein</v>
      </c>
      <c r="G43" s="59"/>
      <c r="J43" s="28"/>
      <c r="M43" s="68"/>
    </row>
    <row r="44" spans="1:258" s="29" customFormat="1" ht="18" customHeight="1" x14ac:dyDescent="0.25">
      <c r="A44" s="27" t="s">
        <v>48</v>
      </c>
      <c r="B44" s="27"/>
      <c r="C44" s="61"/>
      <c r="E44" s="235">
        <f>(SUM('Technische Tabelle'!J34,'Technische Tabelle'!K34))</f>
        <v>0</v>
      </c>
      <c r="G44" s="59"/>
      <c r="J44" s="28"/>
      <c r="M44" s="68"/>
    </row>
    <row r="45" spans="1:258" s="29" customFormat="1" ht="18" customHeight="1" x14ac:dyDescent="0.25">
      <c r="A45" s="28" t="s">
        <v>51</v>
      </c>
      <c r="B45" s="28"/>
      <c r="C45" s="72"/>
      <c r="E45" s="62">
        <f>IF(B33=28, 4, "MS, die 35% der Bevölkerung repräsentieren, plus 1 MS")</f>
        <v>4</v>
      </c>
      <c r="G45" s="59"/>
      <c r="J45" s="28"/>
      <c r="M45" s="68"/>
    </row>
    <row r="46" spans="1:258" s="29" customFormat="1" ht="12.75" customHeight="1" x14ac:dyDescent="0.25">
      <c r="A46" s="28"/>
      <c r="B46" s="28"/>
      <c r="C46" s="72"/>
      <c r="E46" s="59"/>
      <c r="G46" s="59"/>
      <c r="J46" s="28"/>
      <c r="M46" s="68"/>
    </row>
    <row r="47" spans="1:258" ht="18" x14ac:dyDescent="0.25">
      <c r="A47" s="27" t="s">
        <v>58</v>
      </c>
      <c r="B47" s="27"/>
      <c r="E47" s="67">
        <f>F33</f>
        <v>0</v>
      </c>
      <c r="G47" s="73"/>
      <c r="J47" s="14"/>
      <c r="K47" s="74"/>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row>
    <row r="48" spans="1:258" ht="18" x14ac:dyDescent="0.25">
      <c r="A48" s="28" t="s">
        <v>69</v>
      </c>
      <c r="B48" s="28"/>
      <c r="E48" s="69">
        <f>0.35*D33</f>
        <v>179646100.19999999</v>
      </c>
      <c r="I48" s="30"/>
      <c r="J48" s="14"/>
      <c r="K48" s="74"/>
      <c r="M48" s="75"/>
    </row>
    <row r="50" spans="1:8" ht="15.75" x14ac:dyDescent="0.25">
      <c r="A50" s="31" t="s">
        <v>49</v>
      </c>
      <c r="B50" s="31"/>
      <c r="C50" s="76"/>
      <c r="D50" s="76"/>
      <c r="E50" s="77"/>
    </row>
    <row r="51" spans="1:8" ht="18" x14ac:dyDescent="0.25">
      <c r="E51" s="78" t="s">
        <v>123</v>
      </c>
      <c r="F51" s="79" t="str">
        <f>IF((F52&gt;=F53),"Ja","Nein")</f>
        <v>Nein</v>
      </c>
    </row>
    <row r="52" spans="1:8" x14ac:dyDescent="0.2">
      <c r="D52" s="13" t="s">
        <v>59</v>
      </c>
      <c r="E52" s="80"/>
      <c r="F52" s="46">
        <f>'Technische Tabelle'!J34</f>
        <v>0</v>
      </c>
    </row>
    <row r="53" spans="1:8" x14ac:dyDescent="0.2">
      <c r="D53" s="13" t="s">
        <v>40</v>
      </c>
      <c r="E53" s="80"/>
      <c r="F53" s="81">
        <f>ROUNDUP(0.2475*B33,0)</f>
        <v>7</v>
      </c>
    </row>
    <row r="54" spans="1:8" x14ac:dyDescent="0.2">
      <c r="E54" s="80"/>
      <c r="F54" s="29"/>
    </row>
    <row r="55" spans="1:8" ht="18" x14ac:dyDescent="0.25">
      <c r="E55" s="80" t="s">
        <v>122</v>
      </c>
      <c r="F55" s="79" t="str">
        <f>IF((F56&gt;=F57),"Ja","Nein")</f>
        <v>Nein</v>
      </c>
    </row>
    <row r="56" spans="1:8" x14ac:dyDescent="0.2">
      <c r="D56" s="13" t="s">
        <v>59</v>
      </c>
      <c r="E56" s="80"/>
      <c r="F56" s="46">
        <f>'Technische Tabelle'!M34</f>
        <v>0</v>
      </c>
    </row>
    <row r="57" spans="1:8" x14ac:dyDescent="0.2">
      <c r="D57" s="82" t="s">
        <v>40</v>
      </c>
      <c r="E57" s="80"/>
      <c r="F57" s="83">
        <f>0.1925*D33</f>
        <v>98805355.109999999</v>
      </c>
    </row>
    <row r="58" spans="1:8" ht="13.5" thickBot="1" x14ac:dyDescent="0.25"/>
    <row r="59" spans="1:8" ht="21" thickBot="1" x14ac:dyDescent="0.35">
      <c r="A59" s="32" t="s">
        <v>50</v>
      </c>
      <c r="B59" s="218"/>
      <c r="C59" s="84" t="s">
        <v>38</v>
      </c>
      <c r="D59" s="84"/>
      <c r="E59" s="85"/>
      <c r="F59" s="86"/>
      <c r="G59" s="87" t="str">
        <f>IF(C35="Nein","Nein",IF(AND(D39="Nein",E43="Ja"),"Nein","Ja"))</f>
        <v>Ja</v>
      </c>
    </row>
    <row r="60" spans="1:8" ht="21" thickBot="1" x14ac:dyDescent="0.35">
      <c r="A60" s="33"/>
      <c r="B60" s="86"/>
      <c r="C60" s="84" t="s">
        <v>39</v>
      </c>
      <c r="D60" s="84"/>
      <c r="E60" s="85"/>
      <c r="F60" s="86"/>
      <c r="G60" s="88" t="str">
        <f>IF(OR(F51="Ja", F55 = "Ja"),"Ja","Nein")</f>
        <v>Nein</v>
      </c>
    </row>
    <row r="61" spans="1:8" ht="6.75" customHeight="1" x14ac:dyDescent="0.3">
      <c r="C61" s="65"/>
      <c r="D61" s="65"/>
      <c r="G61" s="89"/>
    </row>
    <row r="62" spans="1:8" ht="23.25" customHeight="1" x14ac:dyDescent="0.2">
      <c r="A62" s="285" t="s">
        <v>92</v>
      </c>
      <c r="B62" s="285"/>
      <c r="C62" s="285"/>
      <c r="D62" s="285"/>
      <c r="E62" s="285"/>
      <c r="F62" s="285"/>
      <c r="G62" s="285"/>
    </row>
    <row r="63" spans="1:8" ht="50.25" customHeight="1" x14ac:dyDescent="0.3">
      <c r="C63" s="65"/>
      <c r="D63" s="65"/>
      <c r="H63" s="89"/>
    </row>
    <row r="65" spans="1:258" ht="26.25" customHeight="1" x14ac:dyDescent="0.2">
      <c r="A65" s="284" t="s">
        <v>74</v>
      </c>
      <c r="B65" s="284"/>
      <c r="C65" s="284"/>
      <c r="D65" s="284"/>
      <c r="E65" s="284"/>
      <c r="F65" s="284"/>
      <c r="G65" s="284"/>
    </row>
    <row r="66" spans="1:258" ht="27.75" customHeight="1" x14ac:dyDescent="0.2">
      <c r="A66" s="284" t="s">
        <v>75</v>
      </c>
      <c r="B66" s="284"/>
      <c r="C66" s="284"/>
      <c r="D66" s="284"/>
      <c r="E66" s="284"/>
      <c r="F66" s="284"/>
      <c r="G66" s="284"/>
    </row>
    <row r="67" spans="1:258" ht="18" customHeight="1" x14ac:dyDescent="0.2">
      <c r="A67" s="284" t="s">
        <v>94</v>
      </c>
      <c r="B67" s="284"/>
      <c r="C67" s="284"/>
      <c r="D67" s="284"/>
      <c r="E67" s="284"/>
      <c r="F67" s="284"/>
      <c r="G67" s="284"/>
    </row>
    <row r="68" spans="1:258" ht="37.5" customHeight="1" x14ac:dyDescent="0.2">
      <c r="A68" s="284"/>
      <c r="B68" s="284"/>
      <c r="C68" s="284"/>
      <c r="D68" s="284"/>
      <c r="E68" s="284"/>
      <c r="F68" s="284"/>
      <c r="G68" s="284"/>
    </row>
    <row r="69" spans="1:258" ht="27.75" customHeight="1" x14ac:dyDescent="0.2">
      <c r="A69" s="284"/>
      <c r="B69" s="284"/>
      <c r="C69" s="284"/>
      <c r="D69" s="284"/>
      <c r="E69" s="284"/>
      <c r="F69" s="284"/>
      <c r="G69" s="284"/>
    </row>
    <row r="70" spans="1:258" ht="27.75" customHeight="1" x14ac:dyDescent="0.2">
      <c r="A70" s="286"/>
      <c r="B70" s="286"/>
      <c r="C70" s="286"/>
      <c r="D70" s="286"/>
      <c r="E70" s="286"/>
      <c r="F70" s="286"/>
      <c r="G70" s="286"/>
    </row>
    <row r="74" spans="1:258" x14ac:dyDescent="0.2">
      <c r="A74" s="41"/>
      <c r="B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row>
    <row r="75" spans="1:258" x14ac:dyDescent="0.2">
      <c r="A75" s="41"/>
      <c r="B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row>
  </sheetData>
  <sheetProtection password="A951" sheet="1" objects="1" scenarios="1" selectLockedCells="1"/>
  <protectedRanges>
    <protectedRange password="C117" sqref="C5:C32" name="Bereich1_1_1_2_1_1_2_1_1"/>
  </protectedRanges>
  <mergeCells count="9">
    <mergeCell ref="C2:F2"/>
    <mergeCell ref="A67:G67"/>
    <mergeCell ref="A62:G62"/>
    <mergeCell ref="A68:G68"/>
    <mergeCell ref="A70:G70"/>
    <mergeCell ref="C3:D3"/>
    <mergeCell ref="A65:G65"/>
    <mergeCell ref="A66:G66"/>
    <mergeCell ref="A69:G69"/>
  </mergeCells>
  <pageMargins left="0.78749999999999998" right="0.78749999999999998" top="0.98402777777777795" bottom="0.98402777777777795" header="0.51180555555555496" footer="0.51180555555555496"/>
  <pageSetup paperSize="9" scale="53"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O65"/>
  <sheetViews>
    <sheetView showGridLines="0" showRowColHeaders="0" topLeftCell="A22" zoomScale="85" zoomScaleNormal="85" workbookViewId="0">
      <selection activeCell="F33" sqref="F33"/>
    </sheetView>
  </sheetViews>
  <sheetFormatPr baseColWidth="10" defaultRowHeight="12.75" x14ac:dyDescent="0.2"/>
  <cols>
    <col min="1" max="1" width="38.42578125" style="41" customWidth="1"/>
    <col min="2" max="2" width="15" style="41" customWidth="1"/>
    <col min="3" max="3" width="14.28515625" style="41" customWidth="1"/>
    <col min="4" max="4" width="13.42578125" style="41" customWidth="1"/>
    <col min="5" max="5" width="15.7109375" style="41" customWidth="1"/>
    <col min="6" max="6" width="24.42578125" style="41" customWidth="1"/>
    <col min="7" max="7" width="21" style="41" customWidth="1"/>
    <col min="8" max="8" width="22.7109375" style="13" customWidth="1"/>
    <col min="9" max="9" width="50.42578125" style="41" customWidth="1"/>
    <col min="10" max="16384" width="11.42578125" style="41"/>
  </cols>
  <sheetData>
    <row r="1" spans="1:9" x14ac:dyDescent="0.2">
      <c r="A1" s="12"/>
      <c r="B1" s="12"/>
      <c r="C1" s="13"/>
      <c r="D1" s="13"/>
      <c r="E1" s="14"/>
      <c r="F1" s="82"/>
      <c r="G1" s="82"/>
      <c r="H1" s="82"/>
    </row>
    <row r="2" spans="1:9" ht="21" x14ac:dyDescent="0.25">
      <c r="A2" s="15"/>
      <c r="B2" s="15"/>
      <c r="C2" s="289" t="s">
        <v>76</v>
      </c>
      <c r="D2" s="289"/>
      <c r="E2" s="289"/>
      <c r="F2" s="289"/>
      <c r="G2" s="289"/>
      <c r="H2" s="100"/>
    </row>
    <row r="3" spans="1:9" ht="15" x14ac:dyDescent="0.25">
      <c r="A3" s="128"/>
      <c r="B3" s="128"/>
      <c r="C3" s="290"/>
      <c r="D3" s="291"/>
      <c r="E3" s="17"/>
      <c r="F3" s="15"/>
      <c r="G3" s="15"/>
      <c r="H3" s="15"/>
    </row>
    <row r="4" spans="1:9" ht="59.25" x14ac:dyDescent="0.2">
      <c r="A4" s="129" t="s">
        <v>0</v>
      </c>
      <c r="B4" s="236" t="s">
        <v>108</v>
      </c>
      <c r="C4" s="130" t="s">
        <v>1</v>
      </c>
      <c r="D4" s="131" t="s">
        <v>42</v>
      </c>
      <c r="E4" s="132" t="s">
        <v>43</v>
      </c>
      <c r="F4" s="193" t="s">
        <v>71</v>
      </c>
      <c r="G4" s="133" t="s">
        <v>2</v>
      </c>
      <c r="H4" s="134"/>
      <c r="I4" s="205"/>
    </row>
    <row r="5" spans="1:9" x14ac:dyDescent="0.2">
      <c r="A5" s="21" t="s">
        <v>4</v>
      </c>
      <c r="B5" s="272" t="s">
        <v>95</v>
      </c>
      <c r="C5" s="4" t="s">
        <v>17</v>
      </c>
      <c r="D5" s="135">
        <f>IF(B5="x",29,0)</f>
        <v>29</v>
      </c>
      <c r="E5" s="135">
        <f>IF(C5="j",1*D5,0)</f>
        <v>29</v>
      </c>
      <c r="F5" s="46">
        <f>IF(B5="x",81089331,0)</f>
        <v>81089331</v>
      </c>
      <c r="G5" s="136">
        <f>IF(C5="j",F5,0)</f>
        <v>81089331</v>
      </c>
      <c r="H5" s="137"/>
      <c r="I5" s="239"/>
    </row>
    <row r="6" spans="1:9" x14ac:dyDescent="0.2">
      <c r="A6" s="138" t="s">
        <v>5</v>
      </c>
      <c r="B6" s="273" t="s">
        <v>95</v>
      </c>
      <c r="C6" s="2" t="s">
        <v>17</v>
      </c>
      <c r="D6" s="148">
        <f t="shared" ref="D6:D8" si="0">IF(B6="x",29,0)</f>
        <v>29</v>
      </c>
      <c r="E6" s="139">
        <f t="shared" ref="E6:E32" si="1">IF(C6="j",1*D6,0)</f>
        <v>29</v>
      </c>
      <c r="F6" s="222">
        <f>IF(B6="x",66352469,0)</f>
        <v>66352469</v>
      </c>
      <c r="G6" s="140">
        <f t="shared" ref="G6:G32" si="2">IF(C6="j",F6,0)</f>
        <v>66352469</v>
      </c>
      <c r="H6" s="137"/>
      <c r="I6" s="239"/>
    </row>
    <row r="7" spans="1:9" x14ac:dyDescent="0.2">
      <c r="A7" s="21" t="s">
        <v>6</v>
      </c>
      <c r="B7" s="272" t="s">
        <v>95</v>
      </c>
      <c r="C7" s="4" t="s">
        <v>17</v>
      </c>
      <c r="D7" s="135">
        <f t="shared" si="0"/>
        <v>29</v>
      </c>
      <c r="E7" s="135">
        <f t="shared" si="1"/>
        <v>29</v>
      </c>
      <c r="F7" s="46">
        <f>IF(B7="x",64767115,0)</f>
        <v>64767115</v>
      </c>
      <c r="G7" s="136">
        <f t="shared" si="2"/>
        <v>64767115</v>
      </c>
      <c r="H7" s="137"/>
      <c r="I7" s="239"/>
    </row>
    <row r="8" spans="1:9" x14ac:dyDescent="0.2">
      <c r="A8" s="138" t="s">
        <v>7</v>
      </c>
      <c r="B8" s="273" t="s">
        <v>95</v>
      </c>
      <c r="C8" s="2" t="s">
        <v>17</v>
      </c>
      <c r="D8" s="148">
        <f t="shared" si="0"/>
        <v>29</v>
      </c>
      <c r="E8" s="139">
        <f t="shared" si="1"/>
        <v>29</v>
      </c>
      <c r="F8" s="222">
        <f>IF(B8="x",61438480,0)</f>
        <v>61438480</v>
      </c>
      <c r="G8" s="140">
        <f t="shared" si="2"/>
        <v>61438480</v>
      </c>
      <c r="H8" s="137"/>
      <c r="I8" s="239"/>
    </row>
    <row r="9" spans="1:9" x14ac:dyDescent="0.2">
      <c r="A9" s="21" t="s">
        <v>8</v>
      </c>
      <c r="B9" s="272" t="s">
        <v>95</v>
      </c>
      <c r="C9" s="4" t="s">
        <v>17</v>
      </c>
      <c r="D9" s="135">
        <f>IF(B9="x",27,0)</f>
        <v>27</v>
      </c>
      <c r="E9" s="135">
        <f t="shared" si="1"/>
        <v>27</v>
      </c>
      <c r="F9" s="46">
        <f>IF(B9="x",46439864,0)</f>
        <v>46439864</v>
      </c>
      <c r="G9" s="136">
        <f t="shared" si="2"/>
        <v>46439864</v>
      </c>
      <c r="H9" s="137"/>
      <c r="I9" s="239"/>
    </row>
    <row r="10" spans="1:9" x14ac:dyDescent="0.2">
      <c r="A10" s="138" t="s">
        <v>9</v>
      </c>
      <c r="B10" s="273" t="s">
        <v>95</v>
      </c>
      <c r="C10" s="2" t="s">
        <v>17</v>
      </c>
      <c r="D10" s="148">
        <f>IF(B10="x",27,0)</f>
        <v>27</v>
      </c>
      <c r="E10" s="139">
        <f t="shared" si="1"/>
        <v>27</v>
      </c>
      <c r="F10" s="222">
        <f>IF(B10="x",38005614,0)</f>
        <v>38005614</v>
      </c>
      <c r="G10" s="140">
        <f t="shared" si="2"/>
        <v>38005614</v>
      </c>
      <c r="H10" s="137"/>
      <c r="I10" s="239"/>
    </row>
    <row r="11" spans="1:9" x14ac:dyDescent="0.2">
      <c r="A11" s="21" t="s">
        <v>10</v>
      </c>
      <c r="B11" s="272" t="s">
        <v>95</v>
      </c>
      <c r="C11" s="4" t="s">
        <v>17</v>
      </c>
      <c r="D11" s="135">
        <f>IF(B11="x",14,0)</f>
        <v>14</v>
      </c>
      <c r="E11" s="135">
        <f t="shared" si="1"/>
        <v>14</v>
      </c>
      <c r="F11" s="46">
        <f>IF(B11="x",19861408,0)</f>
        <v>19861408</v>
      </c>
      <c r="G11" s="136">
        <f t="shared" si="2"/>
        <v>19861408</v>
      </c>
      <c r="H11" s="137"/>
      <c r="I11" s="239"/>
    </row>
    <row r="12" spans="1:9" x14ac:dyDescent="0.2">
      <c r="A12" s="138" t="s">
        <v>11</v>
      </c>
      <c r="B12" s="273" t="s">
        <v>95</v>
      </c>
      <c r="C12" s="2" t="s">
        <v>17</v>
      </c>
      <c r="D12" s="148">
        <f>IF(B12="x",13,0)</f>
        <v>13</v>
      </c>
      <c r="E12" s="139">
        <f t="shared" si="1"/>
        <v>13</v>
      </c>
      <c r="F12" s="222">
        <f>IF(B12="x",17155169,0)</f>
        <v>17155169</v>
      </c>
      <c r="G12" s="140">
        <f t="shared" si="2"/>
        <v>17155169</v>
      </c>
      <c r="H12" s="137"/>
      <c r="I12" s="239"/>
    </row>
    <row r="13" spans="1:9" x14ac:dyDescent="0.2">
      <c r="A13" s="21" t="s">
        <v>13</v>
      </c>
      <c r="B13" s="272" t="s">
        <v>95</v>
      </c>
      <c r="C13" s="4" t="s">
        <v>17</v>
      </c>
      <c r="D13" s="135">
        <f>IF(B13="x",12,0)</f>
        <v>12</v>
      </c>
      <c r="E13" s="135">
        <f t="shared" si="1"/>
        <v>12</v>
      </c>
      <c r="F13" s="46">
        <f>IF(B13="x",11258434,0)</f>
        <v>11258434</v>
      </c>
      <c r="G13" s="136">
        <f t="shared" si="2"/>
        <v>11258434</v>
      </c>
      <c r="H13" s="137"/>
      <c r="I13" s="239"/>
    </row>
    <row r="14" spans="1:9" x14ac:dyDescent="0.2">
      <c r="A14" s="138" t="s">
        <v>12</v>
      </c>
      <c r="B14" s="273" t="s">
        <v>95</v>
      </c>
      <c r="C14" s="2" t="s">
        <v>17</v>
      </c>
      <c r="D14" s="148">
        <f>IF(B14="x",12,0)</f>
        <v>12</v>
      </c>
      <c r="E14" s="139">
        <f>IF(C14="j",1*D14,0)</f>
        <v>12</v>
      </c>
      <c r="F14" s="222">
        <f>IF(B14="x",10846979,0)</f>
        <v>10846979</v>
      </c>
      <c r="G14" s="140">
        <f>IF(C14="j",F14,0)</f>
        <v>10846979</v>
      </c>
      <c r="H14" s="137"/>
      <c r="I14" s="239"/>
    </row>
    <row r="15" spans="1:9" x14ac:dyDescent="0.2">
      <c r="A15" s="141" t="s">
        <v>15</v>
      </c>
      <c r="B15" s="272" t="s">
        <v>95</v>
      </c>
      <c r="C15" s="4" t="s">
        <v>17</v>
      </c>
      <c r="D15" s="135">
        <f>IF(B15="x",12,0)</f>
        <v>12</v>
      </c>
      <c r="E15" s="142">
        <f>IF(C15="j",1*D15,0)</f>
        <v>12</v>
      </c>
      <c r="F15" s="46">
        <f>IF(B15="x",10419743,0)</f>
        <v>10419743</v>
      </c>
      <c r="G15" s="143">
        <f>IF(C15="j",F15,0)</f>
        <v>10419743</v>
      </c>
      <c r="H15" s="137"/>
      <c r="I15" s="239"/>
    </row>
    <row r="16" spans="1:9" x14ac:dyDescent="0.2">
      <c r="A16" s="138" t="s">
        <v>14</v>
      </c>
      <c r="B16" s="273" t="s">
        <v>95</v>
      </c>
      <c r="C16" s="2" t="s">
        <v>17</v>
      </c>
      <c r="D16" s="148">
        <f>IF(B16="x",12,0)</f>
        <v>12</v>
      </c>
      <c r="E16" s="139">
        <f t="shared" si="1"/>
        <v>12</v>
      </c>
      <c r="F16" s="222">
        <f>IF(B16="x",10374822,0)</f>
        <v>10374822</v>
      </c>
      <c r="G16" s="140">
        <f t="shared" si="2"/>
        <v>10374822</v>
      </c>
      <c r="H16" s="137"/>
      <c r="I16" s="239"/>
    </row>
    <row r="17" spans="1:9" x14ac:dyDescent="0.2">
      <c r="A17" s="21" t="s">
        <v>16</v>
      </c>
      <c r="B17" s="272" t="s">
        <v>95</v>
      </c>
      <c r="C17" s="4" t="s">
        <v>17</v>
      </c>
      <c r="D17" s="135">
        <f>IF(B17="x",12,0)</f>
        <v>12</v>
      </c>
      <c r="E17" s="135">
        <f t="shared" si="1"/>
        <v>12</v>
      </c>
      <c r="F17" s="46">
        <f>IF(B17="x",9855571,0)</f>
        <v>9855571</v>
      </c>
      <c r="G17" s="136">
        <f t="shared" si="2"/>
        <v>9855571</v>
      </c>
      <c r="H17" s="137"/>
      <c r="I17" s="239"/>
    </row>
    <row r="18" spans="1:9" x14ac:dyDescent="0.2">
      <c r="A18" s="138" t="s">
        <v>18</v>
      </c>
      <c r="B18" s="273" t="s">
        <v>95</v>
      </c>
      <c r="C18" s="2" t="s">
        <v>17</v>
      </c>
      <c r="D18" s="148">
        <f>IF(B18="x",10,0)</f>
        <v>10</v>
      </c>
      <c r="E18" s="139">
        <f t="shared" si="1"/>
        <v>10</v>
      </c>
      <c r="F18" s="222">
        <f>IF(B18="x",9790000,0)</f>
        <v>9790000</v>
      </c>
      <c r="G18" s="140">
        <f t="shared" si="2"/>
        <v>9790000</v>
      </c>
      <c r="H18" s="137"/>
      <c r="I18" s="239"/>
    </row>
    <row r="19" spans="1:9" x14ac:dyDescent="0.2">
      <c r="A19" s="21" t="s">
        <v>19</v>
      </c>
      <c r="B19" s="272" t="s">
        <v>95</v>
      </c>
      <c r="C19" s="4" t="s">
        <v>17</v>
      </c>
      <c r="D19" s="135">
        <f>IF(B19="x",10,0)</f>
        <v>10</v>
      </c>
      <c r="E19" s="135">
        <f t="shared" si="1"/>
        <v>10</v>
      </c>
      <c r="F19" s="46">
        <f>IF(B19="x",8581500,0)</f>
        <v>8581500</v>
      </c>
      <c r="G19" s="136">
        <f t="shared" si="2"/>
        <v>8581500</v>
      </c>
      <c r="H19" s="137"/>
      <c r="I19" s="239"/>
    </row>
    <row r="20" spans="1:9" x14ac:dyDescent="0.2">
      <c r="A20" s="138" t="s">
        <v>20</v>
      </c>
      <c r="B20" s="273" t="s">
        <v>95</v>
      </c>
      <c r="C20" s="2" t="s">
        <v>17</v>
      </c>
      <c r="D20" s="148">
        <f>IF(B20="x",10,0)</f>
        <v>10</v>
      </c>
      <c r="E20" s="139">
        <f t="shared" si="1"/>
        <v>10</v>
      </c>
      <c r="F20" s="222">
        <f>IF(B20="x",7202198,0)</f>
        <v>7202198</v>
      </c>
      <c r="G20" s="140">
        <f t="shared" si="2"/>
        <v>7202198</v>
      </c>
      <c r="H20" s="137"/>
      <c r="I20" s="239"/>
    </row>
    <row r="21" spans="1:9" x14ac:dyDescent="0.2">
      <c r="A21" s="144" t="s">
        <v>22</v>
      </c>
      <c r="B21" s="274" t="s">
        <v>95</v>
      </c>
      <c r="C21" s="7" t="s">
        <v>17</v>
      </c>
      <c r="D21" s="135">
        <f t="shared" ref="D21:D26" si="3">IF(B21="x",7,0)</f>
        <v>7</v>
      </c>
      <c r="E21" s="145">
        <f>IF(C21="j",1*D21,0)</f>
        <v>7</v>
      </c>
      <c r="F21" s="46">
        <f>IF(B21="x",5653357,0)</f>
        <v>5653357</v>
      </c>
      <c r="G21" s="147">
        <f>IF(C21="j",F21,0)</f>
        <v>5653357</v>
      </c>
      <c r="H21" s="137"/>
      <c r="I21" s="239"/>
    </row>
    <row r="22" spans="1:9" x14ac:dyDescent="0.2">
      <c r="A22" s="242" t="s">
        <v>24</v>
      </c>
      <c r="B22" s="275" t="s">
        <v>95</v>
      </c>
      <c r="C22" s="9" t="s">
        <v>17</v>
      </c>
      <c r="D22" s="240">
        <f t="shared" si="3"/>
        <v>7</v>
      </c>
      <c r="E22" s="240">
        <f>IF(C22="j",1*D22,0)</f>
        <v>7</v>
      </c>
      <c r="F22" s="221">
        <f>IF(B22="x",5471753,0)</f>
        <v>5471753</v>
      </c>
      <c r="G22" s="241">
        <f>IF(C22="j",F22,0)</f>
        <v>5471753</v>
      </c>
      <c r="H22" s="137"/>
      <c r="I22" s="239"/>
    </row>
    <row r="23" spans="1:9" x14ac:dyDescent="0.2">
      <c r="A23" s="144" t="s">
        <v>23</v>
      </c>
      <c r="B23" s="274" t="s">
        <v>95</v>
      </c>
      <c r="C23" s="7" t="s">
        <v>17</v>
      </c>
      <c r="D23" s="145">
        <f t="shared" si="3"/>
        <v>7</v>
      </c>
      <c r="E23" s="145">
        <f t="shared" si="1"/>
        <v>7</v>
      </c>
      <c r="F23" s="46">
        <f>IF(B23="x",5403134,0)</f>
        <v>5403134</v>
      </c>
      <c r="G23" s="147">
        <f t="shared" si="2"/>
        <v>5403134</v>
      </c>
      <c r="H23" s="137"/>
      <c r="I23" s="239"/>
    </row>
    <row r="24" spans="1:9" x14ac:dyDescent="0.2">
      <c r="A24" s="242" t="s">
        <v>25</v>
      </c>
      <c r="B24" s="275" t="s">
        <v>95</v>
      </c>
      <c r="C24" s="9" t="s">
        <v>17</v>
      </c>
      <c r="D24" s="240">
        <f t="shared" si="3"/>
        <v>7</v>
      </c>
      <c r="E24" s="240">
        <f t="shared" si="1"/>
        <v>7</v>
      </c>
      <c r="F24" s="221">
        <f>IF(B24="x",4625885,0)</f>
        <v>4625885</v>
      </c>
      <c r="G24" s="241">
        <f t="shared" si="2"/>
        <v>4625885</v>
      </c>
      <c r="H24" s="137"/>
      <c r="I24" s="239"/>
    </row>
    <row r="25" spans="1:9" x14ac:dyDescent="0.2">
      <c r="A25" s="144" t="s">
        <v>21</v>
      </c>
      <c r="B25" s="274" t="s">
        <v>95</v>
      </c>
      <c r="C25" s="7" t="s">
        <v>17</v>
      </c>
      <c r="D25" s="135">
        <f t="shared" si="3"/>
        <v>7</v>
      </c>
      <c r="E25" s="145">
        <f t="shared" si="1"/>
        <v>7</v>
      </c>
      <c r="F25" s="46">
        <f>IF(B25="x",4225316,0)</f>
        <v>4225316</v>
      </c>
      <c r="G25" s="147">
        <f t="shared" si="2"/>
        <v>4225316</v>
      </c>
      <c r="H25" s="137"/>
      <c r="I25" s="239"/>
    </row>
    <row r="26" spans="1:9" x14ac:dyDescent="0.2">
      <c r="A26" s="242" t="s">
        <v>26</v>
      </c>
      <c r="B26" s="275" t="s">
        <v>95</v>
      </c>
      <c r="C26" s="9" t="s">
        <v>17</v>
      </c>
      <c r="D26" s="240">
        <f t="shared" si="3"/>
        <v>7</v>
      </c>
      <c r="E26" s="240">
        <f t="shared" si="1"/>
        <v>7</v>
      </c>
      <c r="F26" s="221">
        <f>IF(B26="x",2921262,0)</f>
        <v>2921262</v>
      </c>
      <c r="G26" s="241">
        <f t="shared" si="2"/>
        <v>2921262</v>
      </c>
      <c r="H26" s="137"/>
      <c r="I26" s="239"/>
    </row>
    <row r="27" spans="1:9" x14ac:dyDescent="0.2">
      <c r="A27" s="144" t="s">
        <v>27</v>
      </c>
      <c r="B27" s="274" t="s">
        <v>95</v>
      </c>
      <c r="C27" s="7" t="s">
        <v>17</v>
      </c>
      <c r="D27" s="135">
        <f>IF(B27="x",4,0)</f>
        <v>4</v>
      </c>
      <c r="E27" s="145">
        <f t="shared" si="1"/>
        <v>4</v>
      </c>
      <c r="F27" s="46">
        <f>IF(B27="x",2062874,0)</f>
        <v>2062874</v>
      </c>
      <c r="G27" s="147">
        <f t="shared" si="2"/>
        <v>2062874</v>
      </c>
      <c r="H27" s="137"/>
      <c r="I27" s="239"/>
    </row>
    <row r="28" spans="1:9" x14ac:dyDescent="0.2">
      <c r="A28" s="242" t="s">
        <v>28</v>
      </c>
      <c r="B28" s="275" t="s">
        <v>95</v>
      </c>
      <c r="C28" s="9" t="s">
        <v>17</v>
      </c>
      <c r="D28" s="240">
        <f>IF(B28="x",4,0)</f>
        <v>4</v>
      </c>
      <c r="E28" s="240">
        <f t="shared" si="1"/>
        <v>4</v>
      </c>
      <c r="F28" s="221">
        <f>IF(B28="x",1986096,0)</f>
        <v>1986096</v>
      </c>
      <c r="G28" s="241">
        <f t="shared" si="2"/>
        <v>1986096</v>
      </c>
      <c r="H28" s="137"/>
      <c r="I28" s="239"/>
    </row>
    <row r="29" spans="1:9" x14ac:dyDescent="0.2">
      <c r="A29" s="144" t="s">
        <v>29</v>
      </c>
      <c r="B29" s="274" t="s">
        <v>95</v>
      </c>
      <c r="C29" s="7" t="s">
        <v>17</v>
      </c>
      <c r="D29" s="135">
        <f>IF(B29="x",4,0)</f>
        <v>4</v>
      </c>
      <c r="E29" s="145">
        <f t="shared" si="1"/>
        <v>4</v>
      </c>
      <c r="F29" s="46">
        <f>IF(B29="x",1313271,0)</f>
        <v>1313271</v>
      </c>
      <c r="G29" s="147">
        <f t="shared" si="2"/>
        <v>1313271</v>
      </c>
      <c r="H29" s="137"/>
      <c r="I29" s="239"/>
    </row>
    <row r="30" spans="1:9" x14ac:dyDescent="0.2">
      <c r="A30" s="242" t="s">
        <v>30</v>
      </c>
      <c r="B30" s="275" t="s">
        <v>95</v>
      </c>
      <c r="C30" s="9" t="s">
        <v>17</v>
      </c>
      <c r="D30" s="240">
        <f>IF(B30="x",4,0)</f>
        <v>4</v>
      </c>
      <c r="E30" s="240">
        <f t="shared" si="1"/>
        <v>4</v>
      </c>
      <c r="F30" s="221">
        <f>IF(B30="x",847008,0)</f>
        <v>847008</v>
      </c>
      <c r="G30" s="241">
        <f t="shared" si="2"/>
        <v>847008</v>
      </c>
      <c r="H30" s="137"/>
      <c r="I30" s="239"/>
    </row>
    <row r="31" spans="1:9" x14ac:dyDescent="0.2">
      <c r="A31" s="144" t="s">
        <v>31</v>
      </c>
      <c r="B31" s="274" t="s">
        <v>95</v>
      </c>
      <c r="C31" s="7" t="s">
        <v>17</v>
      </c>
      <c r="D31" s="135">
        <f>IF(B31="x",4,0)</f>
        <v>4</v>
      </c>
      <c r="E31" s="145">
        <f t="shared" si="1"/>
        <v>4</v>
      </c>
      <c r="F31" s="46">
        <f>IF(B31="x",562958,0)</f>
        <v>562958</v>
      </c>
      <c r="G31" s="147">
        <f t="shared" si="2"/>
        <v>562958</v>
      </c>
      <c r="H31" s="137"/>
      <c r="I31" s="239"/>
    </row>
    <row r="32" spans="1:9" x14ac:dyDescent="0.2">
      <c r="A32" s="242" t="s">
        <v>32</v>
      </c>
      <c r="B32" s="275" t="s">
        <v>95</v>
      </c>
      <c r="C32" s="9" t="s">
        <v>17</v>
      </c>
      <c r="D32" s="240">
        <f>IF(B32="x",3,0)</f>
        <v>3</v>
      </c>
      <c r="E32" s="240">
        <f t="shared" si="1"/>
        <v>3</v>
      </c>
      <c r="F32" s="221">
        <f>IF(B32="x",429344,0)</f>
        <v>429344</v>
      </c>
      <c r="G32" s="241">
        <f t="shared" si="2"/>
        <v>429344</v>
      </c>
      <c r="H32" s="137"/>
      <c r="I32" s="239"/>
    </row>
    <row r="33" spans="1:15" ht="13.5" thickBot="1" x14ac:dyDescent="0.25">
      <c r="A33" s="238" t="s">
        <v>109</v>
      </c>
      <c r="B33" s="237">
        <f>COUNTIF(B5:B32,"X")</f>
        <v>28</v>
      </c>
      <c r="C33" s="255">
        <f>'Technische Tabelle'!N34</f>
        <v>28</v>
      </c>
      <c r="D33" s="145">
        <f>SUM(D5:D32)</f>
        <v>352</v>
      </c>
      <c r="E33" s="149">
        <f>SUM(E5:E32)</f>
        <v>352</v>
      </c>
      <c r="F33" s="146">
        <f>SUM(F5:F32)</f>
        <v>508940955</v>
      </c>
      <c r="G33" s="150">
        <f>SUM(G5:G32)</f>
        <v>508940955</v>
      </c>
      <c r="H33" s="151"/>
    </row>
    <row r="34" spans="1:15" ht="66.75" customHeight="1" thickBot="1" x14ac:dyDescent="0.25">
      <c r="A34" s="13"/>
      <c r="B34" s="13"/>
      <c r="C34" s="13"/>
      <c r="D34" s="13"/>
      <c r="E34" s="14"/>
      <c r="F34" s="13"/>
      <c r="G34" s="13"/>
      <c r="I34" s="152" t="s">
        <v>83</v>
      </c>
      <c r="K34" s="13"/>
      <c r="L34" s="13"/>
      <c r="M34" s="13"/>
      <c r="N34" s="13"/>
      <c r="O34" s="13"/>
    </row>
    <row r="35" spans="1:15" ht="18" x14ac:dyDescent="0.25">
      <c r="A35" s="153" t="s">
        <v>33</v>
      </c>
      <c r="B35" s="153"/>
      <c r="C35" s="35" t="str">
        <f>IF(C36&gt;=C37,"Ja","Nein")</f>
        <v>Ja</v>
      </c>
      <c r="E35" s="57"/>
      <c r="F35" s="57"/>
      <c r="G35" s="57"/>
      <c r="H35" s="154"/>
      <c r="I35" s="127" t="str">
        <f>IF(I36&gt;=I37,"Ja","Nein")</f>
        <v>Ja</v>
      </c>
      <c r="K35" s="122"/>
      <c r="L35" s="59"/>
      <c r="M35" s="13"/>
      <c r="N35" s="57"/>
      <c r="O35" s="13"/>
    </row>
    <row r="36" spans="1:15" ht="15" x14ac:dyDescent="0.2">
      <c r="A36" s="155" t="s">
        <v>34</v>
      </c>
      <c r="B36" s="155"/>
      <c r="C36" s="171">
        <f>'Technische Tabelle'!N34</f>
        <v>28</v>
      </c>
      <c r="E36" s="57"/>
      <c r="F36" s="57"/>
      <c r="G36" s="57"/>
      <c r="H36" s="154"/>
      <c r="I36" s="157">
        <f>COUNTIF(C5:C32,"j")</f>
        <v>28</v>
      </c>
      <c r="K36" s="103"/>
      <c r="L36" s="123"/>
      <c r="M36" s="61"/>
      <c r="N36" s="57"/>
      <c r="O36" s="13"/>
    </row>
    <row r="37" spans="1:15" x14ac:dyDescent="0.2">
      <c r="A37" s="158" t="s">
        <v>44</v>
      </c>
      <c r="B37" s="158"/>
      <c r="C37" s="159">
        <f>ROUNDUP(B33*0.55,0)</f>
        <v>16</v>
      </c>
      <c r="E37" s="160"/>
      <c r="F37" s="160"/>
      <c r="G37" s="160"/>
      <c r="H37" s="161" t="s">
        <v>57</v>
      </c>
      <c r="I37" s="162">
        <f>ROUNDUP(B33*(2/3),0)</f>
        <v>19</v>
      </c>
      <c r="K37" s="104"/>
      <c r="L37" s="124"/>
      <c r="M37" s="63"/>
      <c r="N37" s="29"/>
      <c r="O37" s="13"/>
    </row>
    <row r="38" spans="1:15" x14ac:dyDescent="0.2">
      <c r="A38" s="37"/>
      <c r="B38" s="37"/>
      <c r="C38" s="160"/>
      <c r="D38" s="160"/>
      <c r="E38" s="160"/>
      <c r="F38" s="29"/>
      <c r="G38" s="160"/>
      <c r="H38" s="163"/>
      <c r="I38" s="164"/>
      <c r="K38" s="105"/>
      <c r="L38" s="29"/>
      <c r="M38" s="29"/>
      <c r="N38" s="29"/>
      <c r="O38" s="13"/>
    </row>
    <row r="39" spans="1:15" ht="18" x14ac:dyDescent="0.25">
      <c r="A39" s="153" t="s">
        <v>45</v>
      </c>
      <c r="B39" s="153"/>
      <c r="C39" s="165"/>
      <c r="D39" s="35" t="str">
        <f>IF(D40&gt;=D41,"Ja","Nein")</f>
        <v>Ja</v>
      </c>
      <c r="F39" s="57"/>
      <c r="G39" s="57"/>
      <c r="H39" s="154"/>
      <c r="I39" s="127" t="str">
        <f>IF(I40&gt;=I41,"Ja","Nein")</f>
        <v>Ja</v>
      </c>
      <c r="K39" s="122"/>
      <c r="L39" s="65"/>
      <c r="M39" s="59"/>
      <c r="N39" s="57"/>
      <c r="O39" s="13"/>
    </row>
    <row r="40" spans="1:15" ht="15" x14ac:dyDescent="0.2">
      <c r="A40" s="155" t="s">
        <v>46</v>
      </c>
      <c r="B40" s="155"/>
      <c r="C40" s="57"/>
      <c r="D40" s="156">
        <f>E33</f>
        <v>352</v>
      </c>
      <c r="F40" s="57"/>
      <c r="G40" s="57"/>
      <c r="H40" s="154"/>
      <c r="I40" s="157">
        <f>SUM(E5:E32)</f>
        <v>352</v>
      </c>
      <c r="K40" s="103"/>
      <c r="L40" s="57"/>
      <c r="M40" s="125"/>
      <c r="N40" s="57"/>
      <c r="O40" s="13"/>
    </row>
    <row r="41" spans="1:15" ht="14.25" x14ac:dyDescent="0.2">
      <c r="A41" s="158" t="s">
        <v>77</v>
      </c>
      <c r="B41" s="158"/>
      <c r="C41" s="160"/>
      <c r="D41" s="159">
        <f>IF(B33=28, 260, ROUND(D33*260/352,0))</f>
        <v>260</v>
      </c>
      <c r="F41" s="160"/>
      <c r="G41" s="160"/>
      <c r="H41" s="166"/>
      <c r="I41" s="167">
        <f>IF(B33=28, 260, ROUND(D33*260/352,0))</f>
        <v>260</v>
      </c>
      <c r="K41" s="104"/>
      <c r="L41" s="29"/>
      <c r="M41" s="126"/>
      <c r="N41" s="29"/>
      <c r="O41" s="13"/>
    </row>
    <row r="42" spans="1:15" x14ac:dyDescent="0.2">
      <c r="A42" s="37"/>
      <c r="B42" s="37"/>
      <c r="C42" s="160"/>
      <c r="D42" s="160"/>
      <c r="E42" s="160"/>
      <c r="F42" s="160"/>
      <c r="G42" s="160"/>
      <c r="H42" s="163"/>
      <c r="I42" s="164"/>
      <c r="K42" s="106"/>
      <c r="L42" s="94"/>
      <c r="M42" s="94"/>
      <c r="N42" s="94"/>
      <c r="O42" s="13"/>
    </row>
    <row r="43" spans="1:15" ht="18.75" x14ac:dyDescent="0.25">
      <c r="A43" s="153" t="s">
        <v>78</v>
      </c>
      <c r="B43" s="153"/>
      <c r="C43" s="165"/>
      <c r="D43" s="168"/>
      <c r="E43" s="35" t="str">
        <f>IF(E44&gt;E45,"Ja","Nein")</f>
        <v>Ja</v>
      </c>
      <c r="H43" s="169"/>
      <c r="I43" s="127" t="str">
        <f>IF(I44&gt;I45,"Ja","Nein")</f>
        <v>Ja</v>
      </c>
      <c r="K43" s="122"/>
      <c r="L43" s="72"/>
      <c r="M43" s="29"/>
      <c r="N43" s="59"/>
      <c r="O43" s="13"/>
    </row>
    <row r="44" spans="1:15" ht="15" x14ac:dyDescent="0.2">
      <c r="A44" s="155" t="s">
        <v>35</v>
      </c>
      <c r="B44" s="155"/>
      <c r="C44" s="57"/>
      <c r="D44" s="170"/>
      <c r="E44" s="171">
        <f>G33</f>
        <v>508940955</v>
      </c>
      <c r="H44" s="172"/>
      <c r="I44" s="173">
        <f>G33</f>
        <v>508940955</v>
      </c>
      <c r="K44" s="103"/>
      <c r="L44" s="61"/>
      <c r="M44" s="29"/>
      <c r="N44" s="123"/>
      <c r="O44" s="13"/>
    </row>
    <row r="45" spans="1:15" x14ac:dyDescent="0.2">
      <c r="A45" s="158" t="s">
        <v>47</v>
      </c>
      <c r="B45" s="158"/>
      <c r="C45" s="13"/>
      <c r="D45" s="13"/>
      <c r="E45" s="174">
        <f>F33*0.62</f>
        <v>315543392.10000002</v>
      </c>
      <c r="H45" s="175"/>
      <c r="I45" s="176">
        <f>F33*0.62</f>
        <v>315543392.10000002</v>
      </c>
      <c r="K45" s="104"/>
      <c r="L45" s="72"/>
      <c r="M45" s="29"/>
      <c r="N45" s="124"/>
      <c r="O45" s="13"/>
    </row>
    <row r="46" spans="1:15" ht="18" x14ac:dyDescent="0.25">
      <c r="A46" s="177"/>
      <c r="B46" s="177"/>
      <c r="C46" s="178"/>
      <c r="D46" s="13"/>
      <c r="E46" s="14"/>
      <c r="F46" s="179"/>
      <c r="H46" s="179"/>
      <c r="I46" s="164"/>
      <c r="K46" s="104"/>
      <c r="L46" s="72"/>
      <c r="M46" s="29"/>
      <c r="N46" s="113"/>
      <c r="O46" s="13"/>
    </row>
    <row r="47" spans="1:15" ht="18.75" x14ac:dyDescent="0.25">
      <c r="A47" s="36" t="s">
        <v>79</v>
      </c>
      <c r="B47" s="36"/>
      <c r="C47" s="76"/>
      <c r="D47" s="76"/>
      <c r="E47" s="77"/>
      <c r="F47" s="76"/>
      <c r="I47" s="164"/>
      <c r="K47" s="13"/>
      <c r="L47" s="13"/>
      <c r="M47" s="13"/>
      <c r="N47" s="13"/>
      <c r="O47" s="13"/>
    </row>
    <row r="48" spans="1:15" ht="15.75" x14ac:dyDescent="0.25">
      <c r="A48" s="37"/>
      <c r="B48" s="37"/>
      <c r="C48" s="13"/>
      <c r="D48" s="37"/>
      <c r="E48" s="180" t="s">
        <v>60</v>
      </c>
      <c r="F48" s="250" t="str">
        <f>IF((F49&gt;=F50),"Ja","Nein")</f>
        <v>Nein</v>
      </c>
      <c r="H48" s="181"/>
      <c r="I48" s="182" t="str">
        <f>IF(('Technische Tabelle'!O34)&gt;=(0.3375*28),"Ja","Nein")</f>
        <v>Nein</v>
      </c>
      <c r="K48" s="13"/>
      <c r="L48" s="13"/>
      <c r="M48" s="13"/>
      <c r="N48" s="13"/>
      <c r="O48" s="13"/>
    </row>
    <row r="49" spans="1:15" x14ac:dyDescent="0.2">
      <c r="A49" s="37"/>
      <c r="B49" s="37"/>
      <c r="C49" s="13"/>
      <c r="D49" s="13" t="s">
        <v>59</v>
      </c>
      <c r="E49" s="80"/>
      <c r="F49" s="46">
        <f>'Technische Tabelle'!O34</f>
        <v>0</v>
      </c>
      <c r="H49" s="49"/>
      <c r="I49" s="183">
        <f>'Technische Tabelle'!O34</f>
        <v>0</v>
      </c>
      <c r="K49" s="13"/>
      <c r="L49" s="13"/>
      <c r="M49" s="13"/>
      <c r="N49" s="13"/>
      <c r="O49" s="13"/>
    </row>
    <row r="50" spans="1:15" x14ac:dyDescent="0.2">
      <c r="A50" s="37"/>
      <c r="B50" s="37"/>
      <c r="C50" s="13"/>
      <c r="D50" s="13" t="s">
        <v>40</v>
      </c>
      <c r="E50" s="80"/>
      <c r="F50" s="251">
        <f>ROUNDUP(0.375*B33,0)</f>
        <v>11</v>
      </c>
      <c r="H50" s="29"/>
      <c r="I50" s="184">
        <f>ROUNDUP(0.25*B33,0)</f>
        <v>7</v>
      </c>
    </row>
    <row r="51" spans="1:15" ht="15.75" x14ac:dyDescent="0.25">
      <c r="A51" s="37"/>
      <c r="B51" s="37"/>
      <c r="C51" s="13"/>
      <c r="D51" s="13"/>
      <c r="E51" s="180" t="s">
        <v>61</v>
      </c>
      <c r="F51" s="250" t="str">
        <f>IF((F52&gt;=F53),"Ja","Nein")</f>
        <v>Nein</v>
      </c>
      <c r="H51" s="181"/>
      <c r="I51" s="182" t="str">
        <f>IF('Technische Tabelle'!R34&gt;=0.285*F33,"Ja","Nein")</f>
        <v>Nein</v>
      </c>
    </row>
    <row r="52" spans="1:15" x14ac:dyDescent="0.2">
      <c r="A52" s="37"/>
      <c r="B52" s="37"/>
      <c r="C52" s="13"/>
      <c r="D52" s="13" t="s">
        <v>59</v>
      </c>
      <c r="E52" s="80"/>
      <c r="F52" s="46">
        <f>'Technische Tabelle'!R34</f>
        <v>0</v>
      </c>
      <c r="H52" s="49"/>
      <c r="I52" s="183">
        <f>'Technische Tabelle'!R34</f>
        <v>0</v>
      </c>
    </row>
    <row r="53" spans="1:15" x14ac:dyDescent="0.2">
      <c r="A53" s="13"/>
      <c r="B53" s="13"/>
      <c r="C53" s="13"/>
      <c r="D53" s="82" t="s">
        <v>40</v>
      </c>
      <c r="E53" s="80"/>
      <c r="F53" s="83">
        <f>0.285*F33</f>
        <v>145048172.17499998</v>
      </c>
      <c r="H53" s="49"/>
      <c r="I53" s="185">
        <f>0.285*F33</f>
        <v>145048172.17499998</v>
      </c>
    </row>
    <row r="54" spans="1:15" ht="13.5" thickBot="1" x14ac:dyDescent="0.25">
      <c r="A54" s="37"/>
      <c r="B54" s="37"/>
      <c r="C54" s="13"/>
      <c r="D54" s="13"/>
      <c r="E54" s="14"/>
      <c r="F54" s="13"/>
      <c r="G54" s="13"/>
      <c r="I54" s="164"/>
    </row>
    <row r="55" spans="1:15" ht="18.75" thickBot="1" x14ac:dyDescent="0.3">
      <c r="A55" s="246" t="s">
        <v>37</v>
      </c>
      <c r="B55" s="243"/>
      <c r="C55" s="247" t="s">
        <v>38</v>
      </c>
      <c r="D55" s="244"/>
      <c r="E55" s="244"/>
      <c r="F55" s="248"/>
      <c r="G55" s="249" t="str">
        <f>IF(D40&lt;D41,"Nein",IF(C36&lt;C37,"Nein",IF(E44&lt;E45,"Nein","Ja")))</f>
        <v>Ja</v>
      </c>
      <c r="H55" s="186"/>
      <c r="I55" s="187" t="str">
        <f>IF(I35="Nein","Nein",IF(I39="Nein","Nein",IF(I43="Nein","Nein","Ja")))</f>
        <v>Ja</v>
      </c>
    </row>
    <row r="56" spans="1:15" ht="18.75" thickBot="1" x14ac:dyDescent="0.3">
      <c r="A56" s="33"/>
      <c r="B56" s="86"/>
      <c r="C56" s="188" t="s">
        <v>39</v>
      </c>
      <c r="D56" s="189"/>
      <c r="E56" s="190"/>
      <c r="F56" s="191"/>
      <c r="G56" s="245" t="str">
        <f>IF(OR(F48="Ja", F51 = "Ja"),"Ja","Nein")</f>
        <v>Nein</v>
      </c>
      <c r="H56" s="73"/>
      <c r="I56" s="192" t="str">
        <f>IF(OR(I48="Ja", I51 = "Ja"),"Ja","Nein")</f>
        <v>Nein</v>
      </c>
    </row>
    <row r="57" spans="1:15" ht="28.5" customHeight="1" x14ac:dyDescent="0.25">
      <c r="A57" s="296" t="s">
        <v>92</v>
      </c>
      <c r="B57" s="296"/>
      <c r="C57" s="296"/>
      <c r="D57" s="296"/>
      <c r="E57" s="296"/>
      <c r="F57" s="296"/>
      <c r="G57" s="296"/>
      <c r="H57" s="73"/>
      <c r="I57" s="59"/>
    </row>
    <row r="58" spans="1:15" ht="48.75" customHeight="1" x14ac:dyDescent="0.25">
      <c r="A58" s="13"/>
      <c r="B58" s="13"/>
      <c r="C58" s="214"/>
      <c r="D58" s="215"/>
      <c r="E58" s="216"/>
      <c r="F58" s="217"/>
      <c r="G58" s="73"/>
      <c r="H58" s="73"/>
      <c r="I58" s="59"/>
    </row>
    <row r="59" spans="1:15" ht="9.75" customHeight="1" x14ac:dyDescent="0.3">
      <c r="C59" s="120"/>
      <c r="D59" s="92"/>
      <c r="E59" s="14"/>
      <c r="F59" s="37"/>
      <c r="G59" s="89"/>
      <c r="H59" s="89"/>
      <c r="I59" s="89"/>
    </row>
    <row r="60" spans="1:15" ht="25.5" customHeight="1" x14ac:dyDescent="0.2">
      <c r="A60" s="292" t="s">
        <v>80</v>
      </c>
      <c r="B60" s="292"/>
      <c r="C60" s="292"/>
      <c r="D60" s="292"/>
      <c r="E60" s="292"/>
      <c r="F60" s="292"/>
      <c r="G60" s="292"/>
    </row>
    <row r="61" spans="1:15" ht="30.75" customHeight="1" x14ac:dyDescent="0.2">
      <c r="A61" s="293" t="s">
        <v>62</v>
      </c>
      <c r="B61" s="293"/>
      <c r="C61" s="293"/>
      <c r="D61" s="293"/>
      <c r="E61" s="293"/>
      <c r="F61" s="293"/>
      <c r="G61" s="293"/>
    </row>
    <row r="62" spans="1:15" ht="29.25" customHeight="1" x14ac:dyDescent="0.2">
      <c r="A62" s="293" t="s">
        <v>110</v>
      </c>
      <c r="B62" s="293"/>
      <c r="C62" s="293"/>
      <c r="D62" s="293"/>
      <c r="E62" s="293"/>
      <c r="F62" s="293"/>
      <c r="G62" s="293"/>
    </row>
    <row r="63" spans="1:15" ht="33" customHeight="1" x14ac:dyDescent="0.2">
      <c r="A63" s="294" t="s">
        <v>93</v>
      </c>
      <c r="B63" s="294"/>
      <c r="C63" s="295"/>
      <c r="D63" s="295"/>
      <c r="E63" s="295"/>
      <c r="F63" s="295"/>
      <c r="G63" s="295"/>
    </row>
    <row r="64" spans="1:15" ht="39.75" customHeight="1" x14ac:dyDescent="0.2">
      <c r="A64" s="288" t="s">
        <v>82</v>
      </c>
      <c r="B64" s="288"/>
      <c r="C64" s="288"/>
      <c r="D64" s="288"/>
      <c r="E64" s="288"/>
      <c r="F64" s="288"/>
      <c r="G64" s="288"/>
    </row>
    <row r="65" spans="1:7" ht="28.5" customHeight="1" x14ac:dyDescent="0.2">
      <c r="A65" s="288" t="s">
        <v>107</v>
      </c>
      <c r="B65" s="288"/>
      <c r="C65" s="288"/>
      <c r="D65" s="288"/>
      <c r="E65" s="288"/>
      <c r="F65" s="288"/>
      <c r="G65" s="288"/>
    </row>
  </sheetData>
  <protectedRanges>
    <protectedRange password="C117" sqref="C33" name="Bereich1"/>
    <protectedRange password="C117" sqref="C5:C32" name="Bereich1_1_1_2_1_1_2_1"/>
  </protectedRanges>
  <mergeCells count="9">
    <mergeCell ref="A65:G65"/>
    <mergeCell ref="C2:G2"/>
    <mergeCell ref="A64:G64"/>
    <mergeCell ref="C3:D3"/>
    <mergeCell ref="A60:G60"/>
    <mergeCell ref="A61:G61"/>
    <mergeCell ref="A63:G63"/>
    <mergeCell ref="A62:G62"/>
    <mergeCell ref="A57:G57"/>
  </mergeCells>
  <pageMargins left="0.7" right="0.7" top="0.78740157499999996" bottom="0.78740157499999996" header="0.3" footer="0.3"/>
  <pageSetup paperSize="9"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X78"/>
  <sheetViews>
    <sheetView showGridLines="0" showRowColHeaders="0" zoomScale="110" zoomScaleNormal="110" workbookViewId="0">
      <selection activeCell="A16" sqref="A16"/>
    </sheetView>
  </sheetViews>
  <sheetFormatPr baseColWidth="10" defaultColWidth="9.140625" defaultRowHeight="12.75" x14ac:dyDescent="0.2"/>
  <cols>
    <col min="1" max="1" width="35.85546875" style="13" customWidth="1"/>
    <col min="2" max="2" width="14" style="13" customWidth="1"/>
    <col min="3" max="3" width="15.7109375" style="13" customWidth="1"/>
    <col min="4" max="4" width="16.5703125" style="13" customWidth="1"/>
    <col min="5" max="5" width="14.42578125" style="14" customWidth="1"/>
    <col min="6" max="6" width="21.140625" style="13" customWidth="1"/>
    <col min="7" max="7" width="15.85546875" style="13" customWidth="1"/>
    <col min="8" max="258" width="9.140625" style="13"/>
    <col min="259" max="16384" width="9.140625" style="41"/>
  </cols>
  <sheetData>
    <row r="1" spans="1:258" x14ac:dyDescent="0.2">
      <c r="A1" s="12"/>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row>
    <row r="2" spans="1:258" x14ac:dyDescent="0.2">
      <c r="A2" s="12"/>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row>
    <row r="3" spans="1:258" ht="20.25" hidden="1" x14ac:dyDescent="0.3">
      <c r="A3" s="40"/>
      <c r="B3" s="90"/>
      <c r="C3" s="90"/>
      <c r="D3" s="90"/>
      <c r="E3" s="91"/>
      <c r="F3" s="212"/>
      <c r="H3" s="89"/>
    </row>
    <row r="4" spans="1:258" ht="16.5" hidden="1" thickBot="1" x14ac:dyDescent="0.3">
      <c r="A4" s="98"/>
      <c r="B4" s="93"/>
      <c r="C4" s="298"/>
      <c r="D4" s="298"/>
      <c r="E4" s="298"/>
      <c r="F4" s="299"/>
      <c r="G4" s="211"/>
      <c r="H4" s="211"/>
    </row>
    <row r="5" spans="1:258" ht="12" customHeight="1" x14ac:dyDescent="0.2">
      <c r="A5" s="12"/>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row>
    <row r="6" spans="1:258" s="15" customFormat="1" ht="21" customHeight="1" x14ac:dyDescent="0.25">
      <c r="B6" s="297" t="s">
        <v>113</v>
      </c>
      <c r="C6" s="297"/>
      <c r="D6" s="297"/>
      <c r="E6" s="297"/>
      <c r="F6" s="297"/>
      <c r="G6" s="13"/>
      <c r="H6" s="13"/>
      <c r="I6" s="13"/>
      <c r="J6" s="13"/>
    </row>
    <row r="7" spans="1:258" s="15" customFormat="1" ht="15" x14ac:dyDescent="0.25">
      <c r="A7" s="16"/>
      <c r="B7" s="300"/>
      <c r="C7" s="300"/>
      <c r="D7" s="252"/>
      <c r="E7" s="17"/>
      <c r="F7" s="13"/>
      <c r="G7" s="13"/>
      <c r="H7" s="13"/>
      <c r="I7" s="13"/>
      <c r="J7" s="13"/>
    </row>
    <row r="8" spans="1:258" s="42" customFormat="1" ht="77.25" customHeight="1" x14ac:dyDescent="0.2">
      <c r="A8" s="99" t="s">
        <v>0</v>
      </c>
      <c r="B8" s="254" t="s">
        <v>114</v>
      </c>
      <c r="C8" s="130" t="s">
        <v>1</v>
      </c>
      <c r="D8" s="19" t="s">
        <v>71</v>
      </c>
      <c r="E8" s="20" t="s">
        <v>2</v>
      </c>
      <c r="F8" s="20" t="s">
        <v>3</v>
      </c>
      <c r="G8" s="12"/>
      <c r="I8" s="43"/>
      <c r="J8" s="44"/>
      <c r="K8" s="45"/>
    </row>
    <row r="9" spans="1:258" s="29" customFormat="1" x14ac:dyDescent="0.2">
      <c r="A9" s="21" t="s">
        <v>4</v>
      </c>
      <c r="B9" s="272" t="s">
        <v>95</v>
      </c>
      <c r="C9" s="4" t="s">
        <v>17</v>
      </c>
      <c r="D9" s="46">
        <f>IF(B9="x",82719022,0)</f>
        <v>82719022</v>
      </c>
      <c r="E9" s="47">
        <f>IF(C9="j",1*D9,0)</f>
        <v>82719022</v>
      </c>
      <c r="F9" s="224">
        <f>IF(AND(C9&lt;&gt;"j",B9="x"),1*D9,0)</f>
        <v>0</v>
      </c>
      <c r="G9" s="12"/>
      <c r="H9" s="12"/>
      <c r="I9" s="48"/>
      <c r="J9" s="49"/>
      <c r="K9" s="50"/>
    </row>
    <row r="10" spans="1:258" s="29" customFormat="1" x14ac:dyDescent="0.2">
      <c r="A10" s="22" t="s">
        <v>5</v>
      </c>
      <c r="B10" s="273" t="s">
        <v>95</v>
      </c>
      <c r="C10" s="2" t="s">
        <v>17</v>
      </c>
      <c r="D10" s="222">
        <f>IF(B10="x",67221943,0)</f>
        <v>67221943</v>
      </c>
      <c r="E10" s="220">
        <f t="shared" ref="E10:E36" si="0">IF(C10="j",1*D10,0)</f>
        <v>67221943</v>
      </c>
      <c r="F10" s="225">
        <f t="shared" ref="F10:F35" si="1">IF(AND(C10&lt;&gt;"j",B10="x"),1*D10,0)</f>
        <v>0</v>
      </c>
      <c r="G10" s="12"/>
      <c r="H10" s="12"/>
      <c r="I10" s="48"/>
      <c r="J10" s="49"/>
      <c r="K10" s="50"/>
    </row>
    <row r="11" spans="1:258" s="29" customFormat="1" x14ac:dyDescent="0.2">
      <c r="A11" s="21" t="s">
        <v>6</v>
      </c>
      <c r="B11" s="272" t="s">
        <v>95</v>
      </c>
      <c r="C11" s="4" t="s">
        <v>17</v>
      </c>
      <c r="D11" s="46">
        <f>IF(B11="x",66238007,0)</f>
        <v>66238007</v>
      </c>
      <c r="E11" s="47">
        <f t="shared" si="0"/>
        <v>66238007</v>
      </c>
      <c r="F11" s="224">
        <f t="shared" si="1"/>
        <v>0</v>
      </c>
      <c r="G11" s="12"/>
      <c r="H11" s="12"/>
      <c r="I11" s="48"/>
      <c r="J11" s="49"/>
      <c r="K11" s="50"/>
    </row>
    <row r="12" spans="1:258" s="29" customFormat="1" x14ac:dyDescent="0.2">
      <c r="A12" s="22" t="s">
        <v>7</v>
      </c>
      <c r="B12" s="273" t="s">
        <v>95</v>
      </c>
      <c r="C12" s="2" t="s">
        <v>17</v>
      </c>
      <c r="D12" s="222">
        <f>IF(B12="x",61166142,0)</f>
        <v>61166142</v>
      </c>
      <c r="E12" s="220">
        <f t="shared" si="0"/>
        <v>61166142</v>
      </c>
      <c r="F12" s="225">
        <f t="shared" si="1"/>
        <v>0</v>
      </c>
      <c r="G12" s="12"/>
      <c r="H12" s="12"/>
      <c r="I12" s="48"/>
      <c r="J12" s="49"/>
      <c r="K12" s="50"/>
    </row>
    <row r="13" spans="1:258" s="29" customFormat="1" x14ac:dyDescent="0.2">
      <c r="A13" s="21" t="s">
        <v>8</v>
      </c>
      <c r="B13" s="272" t="s">
        <v>95</v>
      </c>
      <c r="C13" s="4" t="s">
        <v>17</v>
      </c>
      <c r="D13" s="46">
        <f>IF(B13="x",46659302,0)</f>
        <v>46659302</v>
      </c>
      <c r="E13" s="47">
        <f t="shared" si="0"/>
        <v>46659302</v>
      </c>
      <c r="F13" s="224">
        <f t="shared" si="1"/>
        <v>0</v>
      </c>
      <c r="G13" s="12"/>
      <c r="H13" s="12"/>
      <c r="I13" s="48"/>
      <c r="J13" s="49"/>
      <c r="K13" s="50"/>
    </row>
    <row r="14" spans="1:258" s="29" customFormat="1" x14ac:dyDescent="0.2">
      <c r="A14" s="22" t="s">
        <v>9</v>
      </c>
      <c r="B14" s="273" t="s">
        <v>95</v>
      </c>
      <c r="C14" s="2" t="s">
        <v>17</v>
      </c>
      <c r="D14" s="222">
        <f>IF(B14="x",37976687,0)</f>
        <v>37976687</v>
      </c>
      <c r="E14" s="220">
        <f t="shared" si="0"/>
        <v>37976687</v>
      </c>
      <c r="F14" s="225">
        <f t="shared" si="1"/>
        <v>0</v>
      </c>
      <c r="G14" s="12"/>
      <c r="H14" s="12"/>
      <c r="I14" s="48"/>
      <c r="J14" s="49"/>
      <c r="K14" s="50"/>
    </row>
    <row r="15" spans="1:258" s="29" customFormat="1" x14ac:dyDescent="0.2">
      <c r="A15" s="21" t="s">
        <v>10</v>
      </c>
      <c r="B15" s="272" t="s">
        <v>95</v>
      </c>
      <c r="C15" s="4" t="s">
        <v>17</v>
      </c>
      <c r="D15" s="46">
        <f>IF(B15="x",19523621,0)</f>
        <v>19523621</v>
      </c>
      <c r="E15" s="47">
        <f t="shared" si="0"/>
        <v>19523621</v>
      </c>
      <c r="F15" s="224">
        <f t="shared" si="1"/>
        <v>0</v>
      </c>
      <c r="G15" s="12"/>
      <c r="H15" s="12"/>
      <c r="I15" s="48"/>
      <c r="J15" s="49"/>
      <c r="K15" s="50"/>
    </row>
    <row r="16" spans="1:258" s="29" customFormat="1" x14ac:dyDescent="0.2">
      <c r="A16" s="22" t="s">
        <v>11</v>
      </c>
      <c r="B16" s="273" t="s">
        <v>95</v>
      </c>
      <c r="C16" s="2" t="s">
        <v>17</v>
      </c>
      <c r="D16" s="222">
        <f>IF(B16="x",17321110,0)</f>
        <v>17321110</v>
      </c>
      <c r="E16" s="220">
        <f t="shared" si="0"/>
        <v>17321110</v>
      </c>
      <c r="F16" s="225">
        <f t="shared" si="1"/>
        <v>0</v>
      </c>
      <c r="G16" s="12"/>
      <c r="H16" s="12"/>
      <c r="I16" s="48"/>
      <c r="J16" s="49"/>
      <c r="K16" s="50"/>
    </row>
    <row r="17" spans="1:11" s="29" customFormat="1" x14ac:dyDescent="0.2">
      <c r="A17" s="21" t="s">
        <v>13</v>
      </c>
      <c r="B17" s="272" t="s">
        <v>95</v>
      </c>
      <c r="C17" s="4" t="s">
        <v>17</v>
      </c>
      <c r="D17" s="46">
        <f>IF(B17="x",11413058,0)</f>
        <v>11413058</v>
      </c>
      <c r="E17" s="47">
        <f t="shared" si="0"/>
        <v>11413058</v>
      </c>
      <c r="F17" s="224">
        <f t="shared" si="1"/>
        <v>0</v>
      </c>
      <c r="G17" s="12"/>
      <c r="H17" s="12"/>
      <c r="I17" s="48"/>
      <c r="J17" s="49"/>
      <c r="K17" s="50"/>
    </row>
    <row r="18" spans="1:11" s="29" customFormat="1" x14ac:dyDescent="0.2">
      <c r="A18" s="22" t="s">
        <v>12</v>
      </c>
      <c r="B18" s="273" t="s">
        <v>95</v>
      </c>
      <c r="C18" s="2" t="s">
        <v>17</v>
      </c>
      <c r="D18" s="222">
        <f>IF(B18="x",10738928,0)</f>
        <v>10738928</v>
      </c>
      <c r="E18" s="220">
        <f t="shared" si="0"/>
        <v>10738928</v>
      </c>
      <c r="F18" s="225">
        <f t="shared" si="1"/>
        <v>0</v>
      </c>
      <c r="G18" s="12"/>
      <c r="H18" s="12"/>
      <c r="I18" s="48"/>
      <c r="J18" s="49"/>
      <c r="K18" s="50"/>
    </row>
    <row r="19" spans="1:11" s="29" customFormat="1" x14ac:dyDescent="0.2">
      <c r="A19" s="21" t="s">
        <v>15</v>
      </c>
      <c r="B19" s="272" t="s">
        <v>95</v>
      </c>
      <c r="C19" s="4" t="s">
        <v>17</v>
      </c>
      <c r="D19" s="46">
        <f>IF(B19="x",10493154,0)</f>
        <v>10493154</v>
      </c>
      <c r="E19" s="47">
        <f t="shared" si="0"/>
        <v>10493154</v>
      </c>
      <c r="F19" s="224">
        <f t="shared" si="1"/>
        <v>0</v>
      </c>
      <c r="G19" s="12"/>
      <c r="H19" s="12"/>
      <c r="I19" s="48"/>
      <c r="J19" s="49"/>
      <c r="K19" s="50"/>
    </row>
    <row r="20" spans="1:11" s="29" customFormat="1" x14ac:dyDescent="0.2">
      <c r="A20" s="22" t="s">
        <v>14</v>
      </c>
      <c r="B20" s="273" t="s">
        <v>95</v>
      </c>
      <c r="C20" s="2" t="s">
        <v>17</v>
      </c>
      <c r="D20" s="222">
        <f>IF(B20="x",10291027,0)</f>
        <v>10291027</v>
      </c>
      <c r="E20" s="220">
        <f t="shared" si="0"/>
        <v>10291027</v>
      </c>
      <c r="F20" s="225">
        <f t="shared" si="1"/>
        <v>0</v>
      </c>
      <c r="G20" s="12"/>
      <c r="H20" s="12"/>
      <c r="I20" s="48"/>
      <c r="J20" s="49"/>
      <c r="K20" s="50"/>
    </row>
    <row r="21" spans="1:11" s="29" customFormat="1" x14ac:dyDescent="0.2">
      <c r="A21" s="21" t="s">
        <v>16</v>
      </c>
      <c r="B21" s="272" t="s">
        <v>95</v>
      </c>
      <c r="C21" s="4" t="s">
        <v>17</v>
      </c>
      <c r="D21" s="46">
        <f>IF(B21="x",9778371,0)</f>
        <v>9778371</v>
      </c>
      <c r="E21" s="47">
        <f t="shared" si="0"/>
        <v>9778371</v>
      </c>
      <c r="F21" s="224">
        <f t="shared" si="1"/>
        <v>0</v>
      </c>
      <c r="G21" s="12"/>
      <c r="H21" s="12"/>
      <c r="I21" s="48"/>
      <c r="J21" s="49"/>
      <c r="K21" s="50"/>
    </row>
    <row r="22" spans="1:11" s="29" customFormat="1" x14ac:dyDescent="0.2">
      <c r="A22" s="22" t="s">
        <v>18</v>
      </c>
      <c r="B22" s="273" t="s">
        <v>95</v>
      </c>
      <c r="C22" s="2" t="s">
        <v>17</v>
      </c>
      <c r="D22" s="222">
        <f>IF(B22="x",10157000,0)</f>
        <v>10157000</v>
      </c>
      <c r="E22" s="220">
        <f t="shared" si="0"/>
        <v>10157000</v>
      </c>
      <c r="F22" s="225">
        <f t="shared" si="1"/>
        <v>0</v>
      </c>
      <c r="G22" s="12"/>
      <c r="H22" s="12"/>
      <c r="I22" s="48"/>
      <c r="J22" s="49"/>
      <c r="K22" s="50"/>
    </row>
    <row r="23" spans="1:11" s="29" customFormat="1" x14ac:dyDescent="0.2">
      <c r="A23" s="21" t="s">
        <v>19</v>
      </c>
      <c r="B23" s="272" t="s">
        <v>95</v>
      </c>
      <c r="C23" s="4" t="s">
        <v>17</v>
      </c>
      <c r="D23" s="46">
        <f>IF(B23="x",8802000,0)</f>
        <v>8802000</v>
      </c>
      <c r="E23" s="47">
        <f t="shared" si="0"/>
        <v>8802000</v>
      </c>
      <c r="F23" s="224">
        <f t="shared" si="1"/>
        <v>0</v>
      </c>
      <c r="G23" s="12"/>
      <c r="H23" s="12"/>
      <c r="I23" s="48"/>
      <c r="J23" s="51"/>
      <c r="K23" s="50"/>
    </row>
    <row r="24" spans="1:11" s="29" customFormat="1" x14ac:dyDescent="0.2">
      <c r="A24" s="22" t="s">
        <v>20</v>
      </c>
      <c r="B24" s="273" t="s">
        <v>95</v>
      </c>
      <c r="C24" s="2" t="s">
        <v>17</v>
      </c>
      <c r="D24" s="222">
        <f>IF(B24="x",7050034,0)</f>
        <v>7050034</v>
      </c>
      <c r="E24" s="220">
        <f t="shared" si="0"/>
        <v>7050034</v>
      </c>
      <c r="F24" s="225">
        <f t="shared" si="1"/>
        <v>0</v>
      </c>
      <c r="G24" s="12"/>
      <c r="H24" s="12"/>
      <c r="I24" s="48"/>
      <c r="J24" s="49"/>
      <c r="K24" s="50"/>
    </row>
    <row r="25" spans="1:11" s="29" customFormat="1" x14ac:dyDescent="0.2">
      <c r="A25" s="23" t="s">
        <v>22</v>
      </c>
      <c r="B25" s="274" t="s">
        <v>95</v>
      </c>
      <c r="C25" s="7" t="s">
        <v>17</v>
      </c>
      <c r="D25" s="46">
        <f>IF(B25="x",5774877,0)</f>
        <v>5774877</v>
      </c>
      <c r="E25" s="47">
        <f t="shared" si="0"/>
        <v>5774877</v>
      </c>
      <c r="F25" s="224">
        <f t="shared" si="1"/>
        <v>0</v>
      </c>
      <c r="G25" s="12"/>
      <c r="H25" s="12"/>
      <c r="I25" s="48"/>
      <c r="J25" s="49"/>
      <c r="K25" s="50"/>
    </row>
    <row r="26" spans="1:11" s="29" customFormat="1" x14ac:dyDescent="0.2">
      <c r="A26" s="24" t="s">
        <v>24</v>
      </c>
      <c r="B26" s="275" t="s">
        <v>95</v>
      </c>
      <c r="C26" s="9" t="s">
        <v>17</v>
      </c>
      <c r="D26" s="221">
        <f>IF(B26="x",5501930,0)</f>
        <v>5501930</v>
      </c>
      <c r="E26" s="269">
        <f t="shared" si="0"/>
        <v>5501930</v>
      </c>
      <c r="F26" s="226">
        <f t="shared" si="1"/>
        <v>0</v>
      </c>
      <c r="G26" s="12"/>
      <c r="H26" s="12"/>
      <c r="I26" s="48"/>
      <c r="J26" s="49"/>
      <c r="K26" s="50"/>
    </row>
    <row r="27" spans="1:11" s="29" customFormat="1" x14ac:dyDescent="0.2">
      <c r="A27" s="23" t="s">
        <v>23</v>
      </c>
      <c r="B27" s="274" t="s">
        <v>95</v>
      </c>
      <c r="C27" s="7" t="s">
        <v>17</v>
      </c>
      <c r="D27" s="46">
        <f>IF(B27="x",5443120,0)</f>
        <v>5443120</v>
      </c>
      <c r="E27" s="47">
        <f t="shared" si="0"/>
        <v>5443120</v>
      </c>
      <c r="F27" s="224">
        <f t="shared" si="1"/>
        <v>0</v>
      </c>
      <c r="G27" s="12"/>
      <c r="H27" s="12"/>
      <c r="I27" s="48"/>
      <c r="J27" s="49"/>
      <c r="K27" s="50"/>
    </row>
    <row r="28" spans="1:11" s="29" customFormat="1" x14ac:dyDescent="0.2">
      <c r="A28" s="24" t="s">
        <v>25</v>
      </c>
      <c r="B28" s="275" t="s">
        <v>95</v>
      </c>
      <c r="C28" s="9" t="s">
        <v>17</v>
      </c>
      <c r="D28" s="221">
        <f>IF(B28="x",4830392,0)</f>
        <v>4830392</v>
      </c>
      <c r="E28" s="269">
        <f t="shared" si="0"/>
        <v>4830392</v>
      </c>
      <c r="F28" s="226">
        <f t="shared" si="1"/>
        <v>0</v>
      </c>
      <c r="G28" s="12"/>
      <c r="H28" s="12"/>
      <c r="I28" s="48"/>
      <c r="J28" s="49"/>
      <c r="K28" s="50"/>
    </row>
    <row r="29" spans="1:11" s="29" customFormat="1" x14ac:dyDescent="0.2">
      <c r="A29" s="23" t="s">
        <v>21</v>
      </c>
      <c r="B29" s="274" t="s">
        <v>95</v>
      </c>
      <c r="C29" s="7" t="s">
        <v>17</v>
      </c>
      <c r="D29" s="46">
        <f>IF(B29="x",4105493,0)</f>
        <v>4105493</v>
      </c>
      <c r="E29" s="47">
        <f t="shared" si="0"/>
        <v>4105493</v>
      </c>
      <c r="F29" s="224">
        <f t="shared" si="1"/>
        <v>0</v>
      </c>
      <c r="G29" s="12"/>
      <c r="H29" s="12"/>
      <c r="I29" s="48"/>
      <c r="J29" s="49"/>
      <c r="K29" s="50"/>
    </row>
    <row r="30" spans="1:11" s="29" customFormat="1" x14ac:dyDescent="0.2">
      <c r="A30" s="24" t="s">
        <v>26</v>
      </c>
      <c r="B30" s="275" t="s">
        <v>95</v>
      </c>
      <c r="C30" s="9" t="s">
        <v>17</v>
      </c>
      <c r="D30" s="221">
        <f>IF(B30="x",2808901,0)</f>
        <v>2808901</v>
      </c>
      <c r="E30" s="269">
        <f t="shared" si="0"/>
        <v>2808901</v>
      </c>
      <c r="F30" s="226">
        <f t="shared" si="1"/>
        <v>0</v>
      </c>
      <c r="G30" s="12"/>
      <c r="H30" s="12"/>
      <c r="I30" s="48"/>
      <c r="J30" s="49"/>
      <c r="K30" s="50"/>
    </row>
    <row r="31" spans="1:11" s="29" customFormat="1" x14ac:dyDescent="0.2">
      <c r="A31" s="23" t="s">
        <v>27</v>
      </c>
      <c r="B31" s="274" t="s">
        <v>95</v>
      </c>
      <c r="C31" s="7" t="s">
        <v>17</v>
      </c>
      <c r="D31" s="46">
        <f>IF(B31="x",2066880,0)</f>
        <v>2066880</v>
      </c>
      <c r="E31" s="47">
        <f t="shared" si="0"/>
        <v>2066880</v>
      </c>
      <c r="F31" s="224">
        <f t="shared" si="1"/>
        <v>0</v>
      </c>
      <c r="G31" s="12"/>
      <c r="H31" s="12"/>
      <c r="I31" s="48"/>
      <c r="J31" s="49"/>
      <c r="K31" s="50"/>
    </row>
    <row r="32" spans="1:11" s="29" customFormat="1" x14ac:dyDescent="0.2">
      <c r="A32" s="24" t="s">
        <v>28</v>
      </c>
      <c r="B32" s="275" t="s">
        <v>95</v>
      </c>
      <c r="C32" s="9" t="s">
        <v>17</v>
      </c>
      <c r="D32" s="221">
        <f>IF(B32="x",1934379,0)</f>
        <v>1934379</v>
      </c>
      <c r="E32" s="269">
        <f t="shared" si="0"/>
        <v>1934379</v>
      </c>
      <c r="F32" s="226">
        <f t="shared" si="1"/>
        <v>0</v>
      </c>
      <c r="G32" s="12"/>
      <c r="H32" s="12"/>
      <c r="I32" s="48"/>
      <c r="J32" s="49"/>
      <c r="K32" s="50"/>
    </row>
    <row r="33" spans="1:258" s="29" customFormat="1" x14ac:dyDescent="0.2">
      <c r="A33" s="23" t="s">
        <v>29</v>
      </c>
      <c r="B33" s="274" t="s">
        <v>95</v>
      </c>
      <c r="C33" s="7" t="s">
        <v>17</v>
      </c>
      <c r="D33" s="46">
        <f>IF(B33="x",1319133,0)</f>
        <v>1319133</v>
      </c>
      <c r="E33" s="47">
        <f t="shared" si="0"/>
        <v>1319133</v>
      </c>
      <c r="F33" s="224">
        <f t="shared" si="1"/>
        <v>0</v>
      </c>
      <c r="G33" s="12"/>
      <c r="H33" s="12"/>
      <c r="I33" s="48"/>
      <c r="J33" s="49"/>
      <c r="K33" s="50"/>
    </row>
    <row r="34" spans="1:258" s="29" customFormat="1" x14ac:dyDescent="0.2">
      <c r="A34" s="24" t="s">
        <v>30</v>
      </c>
      <c r="B34" s="275" t="s">
        <v>95</v>
      </c>
      <c r="C34" s="9" t="s">
        <v>17</v>
      </c>
      <c r="D34" s="221">
        <f>IF(B34="x",864236,0)</f>
        <v>864236</v>
      </c>
      <c r="E34" s="269">
        <f t="shared" si="0"/>
        <v>864236</v>
      </c>
      <c r="F34" s="226">
        <f t="shared" si="1"/>
        <v>0</v>
      </c>
      <c r="G34" s="12"/>
      <c r="H34" s="12"/>
      <c r="I34" s="48"/>
      <c r="J34" s="49"/>
      <c r="K34" s="50"/>
    </row>
    <row r="35" spans="1:258" s="29" customFormat="1" x14ac:dyDescent="0.2">
      <c r="A35" s="23" t="s">
        <v>31</v>
      </c>
      <c r="B35" s="274" t="s">
        <v>95</v>
      </c>
      <c r="C35" s="7" t="s">
        <v>17</v>
      </c>
      <c r="D35" s="46">
        <f>IF(B35="x",600124,0)</f>
        <v>600124</v>
      </c>
      <c r="E35" s="47">
        <f t="shared" si="0"/>
        <v>600124</v>
      </c>
      <c r="F35" s="224">
        <f t="shared" si="1"/>
        <v>0</v>
      </c>
      <c r="G35" s="12"/>
      <c r="H35" s="12"/>
      <c r="I35" s="48"/>
      <c r="J35" s="49"/>
      <c r="K35" s="50"/>
    </row>
    <row r="36" spans="1:258" s="29" customFormat="1" x14ac:dyDescent="0.2">
      <c r="A36" s="24" t="s">
        <v>32</v>
      </c>
      <c r="B36" s="275" t="s">
        <v>95</v>
      </c>
      <c r="C36" s="9" t="s">
        <v>17</v>
      </c>
      <c r="D36" s="221">
        <f>IF(B36="x",475701,0)</f>
        <v>475701</v>
      </c>
      <c r="E36" s="269">
        <f t="shared" si="0"/>
        <v>475701</v>
      </c>
      <c r="F36" s="226">
        <f>IF(C36&lt;&gt;"j",1*D36,0)</f>
        <v>0</v>
      </c>
      <c r="G36" s="27"/>
      <c r="H36" s="12"/>
      <c r="I36" s="48"/>
      <c r="J36" s="49"/>
      <c r="K36" s="50"/>
    </row>
    <row r="37" spans="1:258" s="29" customFormat="1" x14ac:dyDescent="0.2">
      <c r="A37" s="101" t="s">
        <v>115</v>
      </c>
      <c r="B37" s="114">
        <f>COUNTIF(B9:B36,"X")</f>
        <v>28</v>
      </c>
      <c r="C37" s="271">
        <f>'Technische Tabelle'!S34</f>
        <v>28</v>
      </c>
      <c r="D37" s="52">
        <f>SUM(D9:D36)</f>
        <v>513274572</v>
      </c>
      <c r="E37" s="115">
        <f>SUM(E9:E36)</f>
        <v>513274572</v>
      </c>
      <c r="F37" s="115">
        <f>SUM(F9:F36)</f>
        <v>0</v>
      </c>
      <c r="G37" s="13"/>
      <c r="H37" s="27"/>
      <c r="I37" s="55"/>
      <c r="J37" s="49"/>
      <c r="K37" s="56"/>
    </row>
    <row r="38" spans="1:258" ht="15" x14ac:dyDescent="0.2">
      <c r="A38" s="25"/>
      <c r="G38" s="57"/>
      <c r="H38" s="29"/>
      <c r="I38" s="29"/>
      <c r="J38" s="29"/>
      <c r="K38" s="58"/>
      <c r="L38" s="58"/>
      <c r="M38" s="29"/>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c r="IE38" s="41"/>
      <c r="IF38" s="41"/>
      <c r="IG38" s="41"/>
      <c r="IH38" s="41"/>
      <c r="II38" s="41"/>
      <c r="IJ38" s="41"/>
      <c r="IK38" s="41"/>
      <c r="IL38" s="41"/>
      <c r="IM38" s="41"/>
      <c r="IN38" s="41"/>
      <c r="IO38" s="41"/>
      <c r="IP38" s="41"/>
      <c r="IQ38" s="41"/>
      <c r="IR38" s="41"/>
      <c r="IS38" s="41"/>
      <c r="IT38" s="41"/>
      <c r="IU38" s="41"/>
      <c r="IV38" s="41"/>
      <c r="IW38" s="41"/>
      <c r="IX38" s="41"/>
    </row>
    <row r="39" spans="1:258" s="57" customFormat="1" ht="18" x14ac:dyDescent="0.25">
      <c r="A39" s="102" t="s">
        <v>33</v>
      </c>
      <c r="B39" s="10" t="str">
        <f>IF(B40&gt;=B41,"Ja","Nein")</f>
        <v>Ja</v>
      </c>
      <c r="C39" s="13"/>
      <c r="D39" s="13"/>
      <c r="I39" s="30"/>
      <c r="J39" s="59"/>
      <c r="K39" s="59"/>
      <c r="L39" s="29"/>
      <c r="M39" s="29"/>
    </row>
    <row r="40" spans="1:258" s="57" customFormat="1" ht="12.75" customHeight="1" x14ac:dyDescent="0.2">
      <c r="A40" s="103" t="s">
        <v>34</v>
      </c>
      <c r="B40" s="270">
        <f>C37</f>
        <v>28</v>
      </c>
      <c r="C40" s="61"/>
      <c r="D40" s="61"/>
      <c r="G40" s="29"/>
      <c r="H40" s="27"/>
      <c r="I40" s="27"/>
      <c r="K40" s="61"/>
      <c r="L40" s="29"/>
      <c r="M40" s="29"/>
    </row>
    <row r="41" spans="1:258" s="29" customFormat="1" ht="27" customHeight="1" x14ac:dyDescent="0.2">
      <c r="A41" s="268" t="s">
        <v>84</v>
      </c>
      <c r="B41" s="110">
        <f>IF(B37=28, 21, ROUNDUP(B37*0.72,0))</f>
        <v>21</v>
      </c>
      <c r="C41" s="63"/>
      <c r="D41" s="63"/>
      <c r="H41" s="27"/>
      <c r="I41" s="28"/>
      <c r="K41" s="64"/>
      <c r="M41" s="57"/>
    </row>
    <row r="42" spans="1:258" s="29" customFormat="1" ht="12.75" customHeight="1" x14ac:dyDescent="0.25">
      <c r="A42" s="105"/>
      <c r="G42" s="57"/>
      <c r="H42" s="57"/>
      <c r="I42" s="65"/>
      <c r="J42" s="57"/>
      <c r="L42" s="57"/>
      <c r="M42" s="57"/>
    </row>
    <row r="43" spans="1:258" s="57" customFormat="1" ht="18" customHeight="1" x14ac:dyDescent="0.25">
      <c r="A43" s="102" t="s">
        <v>88</v>
      </c>
      <c r="B43" s="31"/>
      <c r="C43" s="10" t="str">
        <f>IF(C44&gt;=C45,"Ja","Nein")</f>
        <v>Ja</v>
      </c>
      <c r="D43" s="59"/>
      <c r="I43" s="30"/>
      <c r="K43" s="66"/>
      <c r="M43" s="66"/>
    </row>
    <row r="44" spans="1:258" s="57" customFormat="1" ht="16.5" customHeight="1" x14ac:dyDescent="0.2">
      <c r="A44" s="103" t="s">
        <v>35</v>
      </c>
      <c r="C44" s="111">
        <f>E37</f>
        <v>513274572</v>
      </c>
      <c r="D44" s="125"/>
      <c r="G44" s="29"/>
      <c r="H44" s="29"/>
      <c r="I44" s="27"/>
      <c r="K44" s="29"/>
      <c r="L44" s="29"/>
      <c r="M44" s="68"/>
    </row>
    <row r="45" spans="1:258" s="29" customFormat="1" ht="18" customHeight="1" x14ac:dyDescent="0.25">
      <c r="A45" s="104" t="s">
        <v>36</v>
      </c>
      <c r="C45" s="112">
        <f>0.65*D37</f>
        <v>333628471.80000001</v>
      </c>
      <c r="D45" s="126"/>
      <c r="F45" s="59"/>
      <c r="G45" s="59"/>
      <c r="I45" s="28"/>
      <c r="M45" s="68"/>
    </row>
    <row r="46" spans="1:258" s="94" customFormat="1" ht="12.75" customHeight="1" x14ac:dyDescent="0.2">
      <c r="A46" s="106"/>
      <c r="F46" s="95"/>
      <c r="G46" s="95"/>
      <c r="J46" s="96"/>
      <c r="M46" s="97"/>
    </row>
    <row r="47" spans="1:258" s="29" customFormat="1" ht="18" customHeight="1" x14ac:dyDescent="0.25">
      <c r="A47" s="102" t="s">
        <v>85</v>
      </c>
      <c r="B47" s="70"/>
      <c r="C47" s="71"/>
      <c r="D47" s="71"/>
      <c r="E47" s="10" t="str">
        <f>IF(B37=28, IF(B39="Nein","Ja",IF(E48&gt;=4,IF(E51&gt;E52,"Ja","Nein"), "Nein")), "Sperrminorität unanwendbar")</f>
        <v>Nein</v>
      </c>
      <c r="G47" s="59"/>
      <c r="J47" s="28"/>
      <c r="M47" s="68"/>
    </row>
    <row r="48" spans="1:258" s="29" customFormat="1" ht="18" customHeight="1" x14ac:dyDescent="0.25">
      <c r="A48" s="103" t="s">
        <v>48</v>
      </c>
      <c r="B48" s="61"/>
      <c r="E48" s="270">
        <f>'Technische Tabelle'!T34+'Technische Tabelle'!U34</f>
        <v>0</v>
      </c>
      <c r="G48" s="59"/>
      <c r="J48" s="28"/>
      <c r="M48" s="68"/>
    </row>
    <row r="49" spans="1:258" s="29" customFormat="1" ht="18" customHeight="1" x14ac:dyDescent="0.25">
      <c r="A49" s="104" t="s">
        <v>51</v>
      </c>
      <c r="B49" s="72"/>
      <c r="E49" s="110">
        <v>4</v>
      </c>
      <c r="G49" s="59"/>
      <c r="J49" s="28"/>
      <c r="M49" s="68"/>
    </row>
    <row r="50" spans="1:258" s="29" customFormat="1" ht="12.75" customHeight="1" x14ac:dyDescent="0.25">
      <c r="A50" s="104"/>
      <c r="B50" s="72"/>
      <c r="E50" s="113"/>
      <c r="G50" s="59"/>
      <c r="J50" s="28"/>
      <c r="M50" s="68"/>
    </row>
    <row r="51" spans="1:258" ht="18" x14ac:dyDescent="0.25">
      <c r="A51" s="103" t="s">
        <v>58</v>
      </c>
      <c r="E51" s="111">
        <f>SUM(F9:F36)</f>
        <v>0</v>
      </c>
      <c r="G51" s="73"/>
      <c r="J51" s="14"/>
      <c r="K51" s="74"/>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c r="IT51" s="41"/>
      <c r="IU51" s="41"/>
      <c r="IV51" s="41"/>
      <c r="IW51" s="41"/>
      <c r="IX51" s="41"/>
    </row>
    <row r="52" spans="1:258" ht="18" x14ac:dyDescent="0.25">
      <c r="A52" s="104" t="s">
        <v>69</v>
      </c>
      <c r="E52" s="112">
        <f>0.35*D37</f>
        <v>179646100.19999999</v>
      </c>
      <c r="I52" s="30"/>
      <c r="J52" s="14"/>
      <c r="K52" s="74"/>
      <c r="M52" s="75"/>
    </row>
    <row r="53" spans="1:258" x14ac:dyDescent="0.2">
      <c r="A53" s="105"/>
    </row>
    <row r="54" spans="1:258" x14ac:dyDescent="0.2">
      <c r="A54" s="105"/>
    </row>
    <row r="55" spans="1:258" ht="15.75" x14ac:dyDescent="0.25">
      <c r="A55" s="107" t="s">
        <v>49</v>
      </c>
      <c r="B55" s="76"/>
      <c r="C55" s="76"/>
      <c r="D55" s="76"/>
      <c r="E55" s="77"/>
    </row>
    <row r="56" spans="1:258" ht="18" x14ac:dyDescent="0.25">
      <c r="A56" s="105"/>
      <c r="C56" s="105"/>
      <c r="D56" s="105"/>
      <c r="E56" s="116" t="s">
        <v>121</v>
      </c>
      <c r="F56" s="117" t="str">
        <f>IF((F57&gt;=F58),"Ja","Nein")</f>
        <v>Nein</v>
      </c>
    </row>
    <row r="57" spans="1:258" x14ac:dyDescent="0.2">
      <c r="A57" s="105"/>
      <c r="C57" s="13" t="s">
        <v>59</v>
      </c>
      <c r="E57" s="80"/>
      <c r="F57" s="46">
        <f>'Technische Tabelle'!T34</f>
        <v>0</v>
      </c>
    </row>
    <row r="58" spans="1:258" x14ac:dyDescent="0.2">
      <c r="A58" s="105"/>
      <c r="C58" s="13" t="s">
        <v>40</v>
      </c>
      <c r="E58" s="80"/>
      <c r="F58" s="81">
        <f>ROUNDUP(0.154*B37,0)</f>
        <v>5</v>
      </c>
    </row>
    <row r="59" spans="1:258" ht="18" x14ac:dyDescent="0.25">
      <c r="A59" s="105"/>
      <c r="E59" s="116" t="s">
        <v>122</v>
      </c>
      <c r="F59" s="79" t="str">
        <f>IF((F60&gt;=F61),"Ja","Nein")</f>
        <v>Nein</v>
      </c>
    </row>
    <row r="60" spans="1:258" x14ac:dyDescent="0.2">
      <c r="A60" s="105"/>
      <c r="C60" s="13" t="s">
        <v>59</v>
      </c>
      <c r="E60" s="80"/>
      <c r="F60" s="46">
        <f>'Technische Tabelle'!W34</f>
        <v>0</v>
      </c>
    </row>
    <row r="61" spans="1:258" x14ac:dyDescent="0.2">
      <c r="A61" s="105"/>
      <c r="C61" s="82" t="s">
        <v>40</v>
      </c>
      <c r="D61" s="82"/>
      <c r="E61" s="80"/>
      <c r="F61" s="83">
        <f>ROUNDUP(0.1925*D37,0)</f>
        <v>98805356</v>
      </c>
    </row>
    <row r="62" spans="1:258" x14ac:dyDescent="0.2">
      <c r="A62" s="105"/>
      <c r="C62" s="82"/>
      <c r="D62" s="82"/>
      <c r="E62" s="80"/>
      <c r="G62" s="29"/>
    </row>
    <row r="63" spans="1:258" ht="13.5" thickBot="1" x14ac:dyDescent="0.25">
      <c r="A63" s="105"/>
    </row>
    <row r="64" spans="1:258" ht="21" thickBot="1" x14ac:dyDescent="0.35">
      <c r="A64" s="108" t="s">
        <v>50</v>
      </c>
      <c r="B64" s="118" t="s">
        <v>38</v>
      </c>
      <c r="C64" s="119"/>
      <c r="D64" s="119"/>
      <c r="E64" s="85"/>
      <c r="F64" s="86"/>
      <c r="G64" s="86"/>
      <c r="H64" s="87" t="str">
        <f>IF(B37=28, IF(B39="Nein","Nein",IF(AND(C43="Nein",E47="Ja"),"Nein","Ja")), IF(B39="Nein","Nein",IF(C43="Nein","Nein","Ja")))</f>
        <v>Ja</v>
      </c>
    </row>
    <row r="65" spans="1:258" ht="21" thickBot="1" x14ac:dyDescent="0.35">
      <c r="A65" s="109"/>
      <c r="B65" s="118" t="s">
        <v>39</v>
      </c>
      <c r="C65" s="119"/>
      <c r="D65" s="119"/>
      <c r="E65" s="85"/>
      <c r="F65" s="86"/>
      <c r="G65" s="86"/>
      <c r="H65" s="88" t="str">
        <f>IF(OR(F56="JA", F59 = "JA"),"Ja","Nein")</f>
        <v>Nein</v>
      </c>
    </row>
    <row r="66" spans="1:258" ht="27" customHeight="1" x14ac:dyDescent="0.2">
      <c r="A66" s="302" t="s">
        <v>92</v>
      </c>
      <c r="B66" s="303"/>
      <c r="C66" s="303"/>
      <c r="D66" s="303"/>
      <c r="E66" s="303"/>
      <c r="F66" s="303"/>
      <c r="G66" s="303"/>
      <c r="H66" s="303"/>
    </row>
    <row r="67" spans="1:258" ht="44.25" customHeight="1" x14ac:dyDescent="0.3">
      <c r="A67" s="105"/>
      <c r="B67" s="213"/>
      <c r="C67" s="92"/>
      <c r="D67" s="92"/>
      <c r="H67" s="89"/>
    </row>
    <row r="68" spans="1:258" ht="15.75" x14ac:dyDescent="0.25">
      <c r="A68" s="34"/>
      <c r="B68" s="120"/>
      <c r="C68" s="121"/>
      <c r="D68" s="121"/>
    </row>
    <row r="69" spans="1:258" ht="18" customHeight="1" x14ac:dyDescent="0.2">
      <c r="A69" s="284" t="s">
        <v>74</v>
      </c>
      <c r="B69" s="284"/>
      <c r="C69" s="284"/>
      <c r="D69" s="284"/>
      <c r="E69" s="284"/>
      <c r="F69" s="284"/>
      <c r="G69" s="284"/>
      <c r="H69" s="284"/>
    </row>
    <row r="70" spans="1:258" ht="19.5" customHeight="1" x14ac:dyDescent="0.2">
      <c r="A70" s="284" t="s">
        <v>86</v>
      </c>
      <c r="B70" s="284"/>
      <c r="C70" s="284"/>
      <c r="D70" s="284"/>
      <c r="E70" s="284"/>
      <c r="F70" s="284"/>
      <c r="G70" s="284"/>
      <c r="H70" s="284"/>
    </row>
    <row r="71" spans="1:258" ht="19.5" customHeight="1" x14ac:dyDescent="0.2">
      <c r="A71" s="284" t="s">
        <v>118</v>
      </c>
      <c r="B71" s="284"/>
      <c r="C71" s="284"/>
      <c r="D71" s="284"/>
      <c r="E71" s="284"/>
      <c r="F71" s="284"/>
      <c r="G71" s="284"/>
      <c r="H71" s="284"/>
    </row>
    <row r="72" spans="1:258" ht="80.25" customHeight="1" x14ac:dyDescent="0.2">
      <c r="A72" s="284" t="s">
        <v>124</v>
      </c>
      <c r="B72" s="284"/>
      <c r="C72" s="284"/>
      <c r="D72" s="284"/>
      <c r="E72" s="284"/>
      <c r="F72" s="284"/>
      <c r="G72" s="284"/>
      <c r="H72" s="284"/>
    </row>
    <row r="73" spans="1:258" ht="27" customHeight="1" x14ac:dyDescent="0.2">
      <c r="A73" s="304" t="s">
        <v>112</v>
      </c>
      <c r="B73" s="304"/>
      <c r="C73" s="304"/>
      <c r="D73" s="304"/>
      <c r="E73" s="304"/>
      <c r="F73" s="304"/>
      <c r="G73" s="304"/>
      <c r="H73" s="304"/>
    </row>
    <row r="74" spans="1:258" ht="16.5" customHeight="1" x14ac:dyDescent="0.2">
      <c r="A74" s="304" t="s">
        <v>120</v>
      </c>
      <c r="B74" s="304"/>
      <c r="C74" s="304"/>
      <c r="D74" s="304"/>
      <c r="E74" s="304"/>
      <c r="F74" s="304"/>
      <c r="G74" s="304"/>
      <c r="H74" s="253"/>
    </row>
    <row r="75" spans="1:258" ht="27" customHeight="1" x14ac:dyDescent="0.2">
      <c r="A75" s="301"/>
      <c r="B75" s="301"/>
      <c r="C75" s="301"/>
      <c r="D75" s="301"/>
      <c r="E75" s="301"/>
      <c r="F75" s="301"/>
      <c r="G75" s="301"/>
      <c r="H75" s="301"/>
    </row>
    <row r="77" spans="1:258" x14ac:dyDescent="0.2">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row>
    <row r="78" spans="1:258" x14ac:dyDescent="0.2">
      <c r="A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row>
  </sheetData>
  <sheetProtection password="A951" sheet="1" objects="1" scenarios="1"/>
  <protectedRanges>
    <protectedRange password="C117" sqref="C9:C36" name="Bereich1_1_1_2_1_1_2_1"/>
  </protectedRanges>
  <mergeCells count="11">
    <mergeCell ref="B6:F6"/>
    <mergeCell ref="C4:F4"/>
    <mergeCell ref="B7:C7"/>
    <mergeCell ref="A75:H75"/>
    <mergeCell ref="A69:H69"/>
    <mergeCell ref="A70:H70"/>
    <mergeCell ref="A72:H72"/>
    <mergeCell ref="A71:H71"/>
    <mergeCell ref="A66:H66"/>
    <mergeCell ref="A73:H73"/>
    <mergeCell ref="A74:G74"/>
  </mergeCells>
  <pageMargins left="0.7" right="0.7" top="0.78740157499999996" bottom="0.78740157499999996" header="0.3" footer="0.3"/>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FF"/>
    <pageSetUpPr fitToPage="1"/>
  </sheetPr>
  <dimension ref="A1:W38"/>
  <sheetViews>
    <sheetView topLeftCell="E1" zoomScale="85" zoomScaleNormal="85" workbookViewId="0">
      <selection activeCell="L36" sqref="L36"/>
    </sheetView>
  </sheetViews>
  <sheetFormatPr baseColWidth="10" defaultColWidth="9.140625" defaultRowHeight="12.75" x14ac:dyDescent="0.2"/>
  <cols>
    <col min="1" max="1" width="40.28515625" customWidth="1"/>
    <col min="2" max="2" width="13.85546875" customWidth="1"/>
    <col min="3" max="3" width="13.140625" customWidth="1"/>
    <col min="4" max="4" width="12" customWidth="1"/>
    <col min="5" max="5" width="12.7109375" customWidth="1"/>
    <col min="6" max="6" width="15.140625" customWidth="1"/>
    <col min="7" max="7" width="16.5703125" customWidth="1"/>
    <col min="8" max="8" width="9.140625" customWidth="1"/>
    <col min="9" max="9" width="13" customWidth="1"/>
    <col min="10" max="10" width="14.28515625" customWidth="1"/>
    <col min="12" max="12" width="17.140625" customWidth="1"/>
    <col min="13" max="13" width="16.140625" customWidth="1"/>
    <col min="14" max="14" width="14.7109375" customWidth="1"/>
    <col min="18" max="18" width="13.28515625" customWidth="1"/>
    <col min="19" max="19" width="13" customWidth="1"/>
    <col min="20" max="20" width="11.5703125" customWidth="1"/>
    <col min="21" max="21" width="12.140625" customWidth="1"/>
    <col min="22" max="23" width="13.140625" customWidth="1"/>
  </cols>
  <sheetData>
    <row r="1" spans="1:23" x14ac:dyDescent="0.2">
      <c r="B1" s="312" t="s">
        <v>56</v>
      </c>
      <c r="C1" s="312"/>
      <c r="D1" s="312"/>
      <c r="E1" s="312"/>
      <c r="F1" s="312"/>
      <c r="G1" s="312"/>
      <c r="I1" s="305" t="s">
        <v>99</v>
      </c>
      <c r="J1" s="306"/>
      <c r="K1" s="306"/>
      <c r="L1" s="306"/>
      <c r="M1" s="307"/>
      <c r="N1" s="305" t="s">
        <v>99</v>
      </c>
      <c r="O1" s="306"/>
      <c r="P1" s="306"/>
      <c r="Q1" s="306"/>
      <c r="R1" s="307"/>
      <c r="S1" s="305" t="s">
        <v>99</v>
      </c>
      <c r="T1" s="306"/>
      <c r="U1" s="306"/>
      <c r="V1" s="306"/>
      <c r="W1" s="307"/>
    </row>
    <row r="2" spans="1:23" x14ac:dyDescent="0.2">
      <c r="B2" s="312" t="s">
        <v>41</v>
      </c>
      <c r="C2" s="312"/>
      <c r="D2" s="312" t="s">
        <v>55</v>
      </c>
      <c r="E2" s="312"/>
      <c r="F2" s="312" t="s">
        <v>54</v>
      </c>
      <c r="G2" s="312"/>
      <c r="I2" s="308" t="s">
        <v>97</v>
      </c>
      <c r="J2" s="309"/>
      <c r="K2" s="309"/>
      <c r="L2" s="309"/>
      <c r="M2" s="310"/>
      <c r="N2" s="308" t="s">
        <v>117</v>
      </c>
      <c r="O2" s="309"/>
      <c r="P2" s="309"/>
      <c r="Q2" s="309"/>
      <c r="R2" s="310"/>
      <c r="S2" s="308" t="s">
        <v>116</v>
      </c>
      <c r="T2" s="309"/>
      <c r="U2" s="309"/>
      <c r="V2" s="309"/>
      <c r="W2" s="310"/>
    </row>
    <row r="3" spans="1:23" ht="86.25" customHeight="1" x14ac:dyDescent="0.2">
      <c r="B3" s="38" t="s">
        <v>52</v>
      </c>
      <c r="C3" s="38" t="s">
        <v>53</v>
      </c>
      <c r="D3" s="38" t="s">
        <v>52</v>
      </c>
      <c r="E3" s="38" t="s">
        <v>53</v>
      </c>
      <c r="F3" s="38" t="s">
        <v>52</v>
      </c>
      <c r="G3" s="38" t="s">
        <v>53</v>
      </c>
      <c r="I3" s="256" t="s">
        <v>98</v>
      </c>
      <c r="J3" s="257" t="s">
        <v>100</v>
      </c>
      <c r="K3" s="258" t="s">
        <v>101</v>
      </c>
      <c r="L3" s="257" t="s">
        <v>105</v>
      </c>
      <c r="M3" s="259" t="s">
        <v>104</v>
      </c>
      <c r="N3" s="256" t="s">
        <v>98</v>
      </c>
      <c r="O3" s="257" t="s">
        <v>100</v>
      </c>
      <c r="P3" s="258" t="s">
        <v>101</v>
      </c>
      <c r="Q3" s="257" t="s">
        <v>105</v>
      </c>
      <c r="R3" s="259" t="s">
        <v>104</v>
      </c>
      <c r="S3" s="256" t="s">
        <v>98</v>
      </c>
      <c r="T3" s="257" t="s">
        <v>100</v>
      </c>
      <c r="U3" s="258" t="s">
        <v>101</v>
      </c>
      <c r="V3" s="257" t="s">
        <v>105</v>
      </c>
      <c r="W3" s="259" t="s">
        <v>104</v>
      </c>
    </row>
    <row r="4" spans="1:23" x14ac:dyDescent="0.2">
      <c r="I4" s="260"/>
      <c r="J4" s="261"/>
      <c r="K4" s="261"/>
      <c r="L4" s="261"/>
      <c r="M4" s="262"/>
      <c r="N4" s="260"/>
      <c r="O4" s="261"/>
      <c r="P4" s="261"/>
      <c r="Q4" s="261"/>
      <c r="R4" s="262"/>
      <c r="S4" s="260"/>
      <c r="T4" s="261"/>
      <c r="U4" s="261"/>
      <c r="V4" s="261"/>
      <c r="W4" s="262"/>
    </row>
    <row r="5" spans="1:23" x14ac:dyDescent="0.2">
      <c r="A5" s="3" t="s">
        <v>4</v>
      </c>
      <c r="B5" s="5">
        <f>IF(Mehrheitsrechner_ab_11_2014!C5="n",1,0)</f>
        <v>0</v>
      </c>
      <c r="C5" s="5">
        <f>IF(Mehrheitsrechner_ab_11_2014!C5="n",1*Mehrheitsrechner_ab_11_2014!D5,0)</f>
        <v>0</v>
      </c>
      <c r="D5" s="5">
        <f>IF(Mehrheitsrechner_Art_238_II!B9="n",1,0)</f>
        <v>0</v>
      </c>
      <c r="E5" s="5">
        <f>IF(Mehrheitsrechner_Art_238_II!B9="n",1*Mehrheitsrechner_Art_238_II!C9,0)</f>
        <v>0</v>
      </c>
      <c r="F5" s="5">
        <f>IF(Mehrheitsrechner_Art_3_II_Prot!C5="n",1,0)</f>
        <v>0</v>
      </c>
      <c r="G5" s="5">
        <f>IF(Mehrheitsrechner_Art_3_II_Prot!C5="n",1*Mehrheitsrechner_Art_3_II_Prot!F5,0)</f>
        <v>0</v>
      </c>
      <c r="I5" s="260">
        <f>IF(AND(Mehrheitsrechner_ab_11_2014!C5="J",Mehrheitsrechner_ab_11_2014!B5="x"),1,0)</f>
        <v>1</v>
      </c>
      <c r="J5" s="261">
        <f>IF(AND(Mehrheitsrechner_ab_11_2014!C5="N",Mehrheitsrechner_ab_11_2014!B5="x"),1,0)</f>
        <v>0</v>
      </c>
      <c r="K5" s="261">
        <f>IF(AND(Mehrheitsrechner_ab_11_2014!C5="e",Mehrheitsrechner_ab_11_2014!B5="x"),1,0)</f>
        <v>0</v>
      </c>
      <c r="L5" s="261">
        <f>IF(Mehrheitsrechner_ab_11_2014!B3328, IF(AND(SUM(L6:L32)&lt;1,'Technische Tabelle'!I5&lt;1),Mehrheitsrechner_ab_11_2014!F5,0),0)</f>
        <v>0</v>
      </c>
      <c r="M5" s="263">
        <f>IF(AND(Mehrheitsrechner_ab_11_2014!C5="n",Mehrheitsrechner_ab_11_2014!B5="x"),1*Mehrheitsrechner_ab_11_2014!D5,0)</f>
        <v>0</v>
      </c>
      <c r="N5" s="260">
        <f>IF(AND(Mehrheitsrechner_Art_3_II_Prot!B5="x",Mehrheitsrechner_Art_3_II_Prot!C5="J"),1,0)</f>
        <v>1</v>
      </c>
      <c r="O5" s="261">
        <f>IF(AND(Mehrheitsrechner_Art_3_II_Prot!B5="x",Mehrheitsrechner_Art_3_II_Prot!C5="N"),1,0)</f>
        <v>0</v>
      </c>
      <c r="P5" s="261">
        <f>IF(AND(Mehrheitsrechner_ab_11_2014!H5="e",Mehrheitsrechner_ab_11_2014!G5="x"),1,0)</f>
        <v>0</v>
      </c>
      <c r="Q5" s="261">
        <f>IF(Mehrheitsrechner_ab_11_2014!G3328, IF(AND(SUM(Q6:Q32)&lt;1,'Technische Tabelle'!N5&lt;1),Mehrheitsrechner_ab_11_2014!K5,0),0)</f>
        <v>0</v>
      </c>
      <c r="R5" s="263">
        <f>IF(AND(Mehrheitsrechner_Art_3_II_Prot!C5="n",Mehrheitsrechner_Art_3_II_Prot!B5="x"),1*Mehrheitsrechner_Art_3_II_Prot!F5,0)</f>
        <v>0</v>
      </c>
      <c r="S5" s="260">
        <f>IF(AND(Mehrheitsrechner_Art_238_II!B9="x",Mehrheitsrechner_Art_238_II!C9="J"),1,0)</f>
        <v>1</v>
      </c>
      <c r="T5" s="261">
        <f>IF(AND(Mehrheitsrechner_Art_238_II!B9="x",Mehrheitsrechner_Art_238_II!C9="N"),1,0)</f>
        <v>0</v>
      </c>
      <c r="U5" s="261">
        <f>IF(AND(Mehrheitsrechner_Art_238_II!C9="e",Mehrheitsrechner_Art_238_II!B9="x"),1,0)</f>
        <v>0</v>
      </c>
      <c r="V5" s="261">
        <f>IF(Mehrheitsrechner_ab_11_2014!L3328, IF(AND(SUM(V6:V32)&lt;1,'Technische Tabelle'!S5&lt;1),Mehrheitsrechner_ab_11_2014!P5,0),0)</f>
        <v>0</v>
      </c>
      <c r="W5" s="263">
        <f>IF(AND(Mehrheitsrechner_Art_238_II!C9="n",Mehrheitsrechner_Art_238_II!B9="x"),1*Mehrheitsrechner_Art_238_II!D9,0)</f>
        <v>0</v>
      </c>
    </row>
    <row r="6" spans="1:23" x14ac:dyDescent="0.2">
      <c r="A6" s="1" t="s">
        <v>5</v>
      </c>
      <c r="B6" s="5">
        <f>IF(Mehrheitsrechner_ab_11_2014!C6="n",1,0)</f>
        <v>0</v>
      </c>
      <c r="C6" s="5">
        <f>IF(Mehrheitsrechner_ab_11_2014!C6="n",1*Mehrheitsrechner_ab_11_2014!D6,0)</f>
        <v>0</v>
      </c>
      <c r="D6" s="5">
        <f>IF(Mehrheitsrechner_Art_238_II!B10="n",1,0)</f>
        <v>0</v>
      </c>
      <c r="E6" s="5">
        <f>IF(Mehrheitsrechner_Art_238_II!B10="n",1*Mehrheitsrechner_Art_238_II!C10,0)</f>
        <v>0</v>
      </c>
      <c r="F6" s="5">
        <f>IF(Mehrheitsrechner_Art_3_II_Prot!C6="n",1,0)</f>
        <v>0</v>
      </c>
      <c r="G6" s="5">
        <f>IF(Mehrheitsrechner_Art_3_II_Prot!C6="n",1*Mehrheitsrechner_Art_3_II_Prot!F6,0)</f>
        <v>0</v>
      </c>
      <c r="I6" s="260">
        <f>IF(AND(Mehrheitsrechner_ab_11_2014!C6="J",Mehrheitsrechner_ab_11_2014!B6="x"),1,0)</f>
        <v>1</v>
      </c>
      <c r="J6" s="261">
        <f>IF(AND(Mehrheitsrechner_ab_11_2014!C6="N",Mehrheitsrechner_ab_11_2014!B6="x"),1,0)</f>
        <v>0</v>
      </c>
      <c r="K6" s="261">
        <f>IF(AND(Mehrheitsrechner_ab_11_2014!C6="e",Mehrheitsrechner_ab_11_2014!B6="x"),1,0)</f>
        <v>0</v>
      </c>
      <c r="L6" s="261">
        <f>IF(Mehrheitsrechner_ab_11_2014!B33&lt;28, IF(AND(SUM(L7:L32)&lt;1,'Technische Tabelle'!I6&lt;1),Mehrheitsrechner_ab_11_2014!F6,0),0)</f>
        <v>0</v>
      </c>
      <c r="M6" s="263">
        <f>IF(AND(Mehrheitsrechner_ab_11_2014!C6="n",Mehrheitsrechner_ab_11_2014!B6="x"),1*Mehrheitsrechner_ab_11_2014!D6,0)</f>
        <v>0</v>
      </c>
      <c r="N6" s="260">
        <f>IF(AND(Mehrheitsrechner_Art_3_II_Prot!B6="x",Mehrheitsrechner_Art_3_II_Prot!C6="J"),1,0)</f>
        <v>1</v>
      </c>
      <c r="O6" s="261">
        <f>IF(AND(Mehrheitsrechner_Art_3_II_Prot!B6="x",Mehrheitsrechner_Art_3_II_Prot!C6="N"),1,0)</f>
        <v>0</v>
      </c>
      <c r="P6" s="261">
        <f>IF(AND(Mehrheitsrechner_ab_11_2014!H6="e",Mehrheitsrechner_ab_11_2014!G6="x"),1,0)</f>
        <v>0</v>
      </c>
      <c r="Q6" s="261">
        <f>IF(Mehrheitsrechner_ab_11_2014!G33&lt;28, IF(AND(SUM(Q7:Q32)&lt;1,'Technische Tabelle'!N6&lt;1),Mehrheitsrechner_ab_11_2014!K6,0),0)</f>
        <v>0</v>
      </c>
      <c r="R6" s="263">
        <f>IF(AND(Mehrheitsrechner_Art_3_II_Prot!C6="n",Mehrheitsrechner_Art_3_II_Prot!B6="x"),1*Mehrheitsrechner_Art_3_II_Prot!F6,0)</f>
        <v>0</v>
      </c>
      <c r="S6" s="260">
        <f>IF(AND(Mehrheitsrechner_Art_238_II!B10="x",Mehrheitsrechner_Art_238_II!C10="J"),1,0)</f>
        <v>1</v>
      </c>
      <c r="T6" s="261">
        <f>IF(AND(Mehrheitsrechner_Art_238_II!B10="x",Mehrheitsrechner_Art_238_II!C10="N"),1,0)</f>
        <v>0</v>
      </c>
      <c r="U6" s="261">
        <f>IF(AND(Mehrheitsrechner_Art_238_II!C10="e",Mehrheitsrechner_Art_238_II!B10="x"),1,0)</f>
        <v>0</v>
      </c>
      <c r="V6" s="261">
        <f>IF(Mehrheitsrechner_ab_11_2014!L33&lt;28, IF(AND(SUM(V7:V32)&lt;1,'Technische Tabelle'!S6&lt;1),Mehrheitsrechner_ab_11_2014!P6,0),0)</f>
        <v>0</v>
      </c>
      <c r="W6" s="263">
        <f>IF(AND(Mehrheitsrechner_Art_238_II!C10="n",Mehrheitsrechner_Art_238_II!B10="x"),1*Mehrheitsrechner_Art_238_II!D10,0)</f>
        <v>0</v>
      </c>
    </row>
    <row r="7" spans="1:23" x14ac:dyDescent="0.2">
      <c r="A7" s="3" t="s">
        <v>6</v>
      </c>
      <c r="B7" s="5">
        <f>IF(Mehrheitsrechner_ab_11_2014!C7="n",1,0)</f>
        <v>0</v>
      </c>
      <c r="C7" s="5">
        <f>IF(Mehrheitsrechner_ab_11_2014!C7="n",1*Mehrheitsrechner_ab_11_2014!D7,0)</f>
        <v>0</v>
      </c>
      <c r="D7" s="5">
        <f>IF(Mehrheitsrechner_Art_238_II!B11="n",1,0)</f>
        <v>0</v>
      </c>
      <c r="E7" s="5">
        <f>IF(Mehrheitsrechner_Art_238_II!B11="n",1*Mehrheitsrechner_Art_238_II!C11,0)</f>
        <v>0</v>
      </c>
      <c r="F7" s="5">
        <f>IF(Mehrheitsrechner_Art_3_II_Prot!C7="n",1,0)</f>
        <v>0</v>
      </c>
      <c r="G7" s="5">
        <f>IF(Mehrheitsrechner_Art_3_II_Prot!C7="n",1*Mehrheitsrechner_Art_3_II_Prot!F7,0)</f>
        <v>0</v>
      </c>
      <c r="I7" s="260">
        <f>IF(AND(Mehrheitsrechner_ab_11_2014!C7="J",Mehrheitsrechner_ab_11_2014!B7="x"),1,0)</f>
        <v>1</v>
      </c>
      <c r="J7" s="261">
        <f>IF(AND(Mehrheitsrechner_ab_11_2014!C7="N",Mehrheitsrechner_ab_11_2014!B7="x"),1,0)</f>
        <v>0</v>
      </c>
      <c r="K7" s="261">
        <f>IF(AND(Mehrheitsrechner_ab_11_2014!C7="e",Mehrheitsrechner_ab_11_2014!B7="x"),1,0)</f>
        <v>0</v>
      </c>
      <c r="L7" s="261">
        <f>IF(Mehrheitsrechner_ab_11_2014!B33&lt;28, IF(AND(SUM(L8:L32)&lt;1,'Technische Tabelle'!I7&lt;1),Mehrheitsrechner_ab_11_2014!F7,0),0)</f>
        <v>0</v>
      </c>
      <c r="M7" s="263">
        <f>IF(AND(Mehrheitsrechner_ab_11_2014!C7="n",Mehrheitsrechner_ab_11_2014!B7="x"),1*Mehrheitsrechner_ab_11_2014!D7,0)</f>
        <v>0</v>
      </c>
      <c r="N7" s="260">
        <f>IF(AND(Mehrheitsrechner_Art_3_II_Prot!B7="x",Mehrheitsrechner_Art_3_II_Prot!C7="J"),1,0)</f>
        <v>1</v>
      </c>
      <c r="O7" s="261">
        <f>IF(AND(Mehrheitsrechner_Art_3_II_Prot!B7="x",Mehrheitsrechner_Art_3_II_Prot!C7="N"),1,0)</f>
        <v>0</v>
      </c>
      <c r="P7" s="261">
        <f>IF(AND(Mehrheitsrechner_ab_11_2014!H7="e",Mehrheitsrechner_ab_11_2014!G7="x"),1,0)</f>
        <v>0</v>
      </c>
      <c r="Q7" s="261">
        <f>IF(Mehrheitsrechner_ab_11_2014!G33&lt;28, IF(AND(SUM(Q8:Q32)&lt;1,'Technische Tabelle'!N7&lt;1),Mehrheitsrechner_ab_11_2014!K7,0),0)</f>
        <v>0</v>
      </c>
      <c r="R7" s="263">
        <f>IF(AND(Mehrheitsrechner_Art_3_II_Prot!C7="n",Mehrheitsrechner_Art_3_II_Prot!B7="x"),1*Mehrheitsrechner_Art_3_II_Prot!F7,0)</f>
        <v>0</v>
      </c>
      <c r="S7" s="260">
        <f>IF(AND(Mehrheitsrechner_Art_238_II!B11="x",Mehrheitsrechner_Art_238_II!C11="J"),1,0)</f>
        <v>1</v>
      </c>
      <c r="T7" s="261">
        <f>IF(AND(Mehrheitsrechner_Art_238_II!B11="x",Mehrheitsrechner_Art_238_II!C11="N"),1,0)</f>
        <v>0</v>
      </c>
      <c r="U7" s="261">
        <f>IF(AND(Mehrheitsrechner_Art_238_II!C11="e",Mehrheitsrechner_Art_238_II!B11="x"),1,0)</f>
        <v>0</v>
      </c>
      <c r="V7" s="261">
        <f>IF(Mehrheitsrechner_ab_11_2014!L33&lt;28, IF(AND(SUM(V8:V32)&lt;1,'Technische Tabelle'!S7&lt;1),Mehrheitsrechner_ab_11_2014!P7,0),0)</f>
        <v>0</v>
      </c>
      <c r="W7" s="263">
        <f>IF(AND(Mehrheitsrechner_Art_238_II!C11="n",Mehrheitsrechner_Art_238_II!B11="x"),1*Mehrheitsrechner_Art_238_II!D11,0)</f>
        <v>0</v>
      </c>
    </row>
    <row r="8" spans="1:23" x14ac:dyDescent="0.2">
      <c r="A8" s="1" t="s">
        <v>7</v>
      </c>
      <c r="B8" s="5">
        <f>IF(Mehrheitsrechner_ab_11_2014!C8="n",1,0)</f>
        <v>0</v>
      </c>
      <c r="C8" s="5">
        <f>IF(Mehrheitsrechner_ab_11_2014!C8="n",1*Mehrheitsrechner_ab_11_2014!D8,0)</f>
        <v>0</v>
      </c>
      <c r="D8" s="5">
        <f>IF(Mehrheitsrechner_Art_238_II!B12="n",1,0)</f>
        <v>0</v>
      </c>
      <c r="E8" s="5">
        <f>IF(Mehrheitsrechner_Art_238_II!B12="n",1*Mehrheitsrechner_Art_238_II!C12,0)</f>
        <v>0</v>
      </c>
      <c r="F8" s="5">
        <f>IF(Mehrheitsrechner_Art_3_II_Prot!C8="n",1,0)</f>
        <v>0</v>
      </c>
      <c r="G8" s="5">
        <f>IF(Mehrheitsrechner_Art_3_II_Prot!C8="n",1*Mehrheitsrechner_Art_3_II_Prot!F8,0)</f>
        <v>0</v>
      </c>
      <c r="I8" s="260">
        <f>IF(AND(Mehrheitsrechner_ab_11_2014!C8="J",Mehrheitsrechner_ab_11_2014!B8="x"),1,0)</f>
        <v>1</v>
      </c>
      <c r="J8" s="261">
        <f>IF(AND(Mehrheitsrechner_ab_11_2014!C8="N",Mehrheitsrechner_ab_11_2014!B8="x"),1,0)</f>
        <v>0</v>
      </c>
      <c r="K8" s="261">
        <f>IF(AND(Mehrheitsrechner_ab_11_2014!C8="e",Mehrheitsrechner_ab_11_2014!B8="x"),1,0)</f>
        <v>0</v>
      </c>
      <c r="L8" s="261">
        <f>IF(Mehrheitsrechner_ab_11_2014!B33&lt;28, IF(AND(SUM(L9:L32)&lt;1,'Technische Tabelle'!I8&lt;1),Mehrheitsrechner_ab_11_2014!F8,0),0)</f>
        <v>0</v>
      </c>
      <c r="M8" s="263">
        <f>IF(AND(Mehrheitsrechner_ab_11_2014!C8="n",Mehrheitsrechner_ab_11_2014!B8="x"),1*Mehrheitsrechner_ab_11_2014!D8,0)</f>
        <v>0</v>
      </c>
      <c r="N8" s="260">
        <f>IF(AND(Mehrheitsrechner_Art_3_II_Prot!B8="x",Mehrheitsrechner_Art_3_II_Prot!C8="J"),1,0)</f>
        <v>1</v>
      </c>
      <c r="O8" s="261">
        <f>IF(AND(Mehrheitsrechner_Art_3_II_Prot!B8="x",Mehrheitsrechner_Art_3_II_Prot!C8="N"),1,0)</f>
        <v>0</v>
      </c>
      <c r="P8" s="261">
        <f>IF(AND(Mehrheitsrechner_ab_11_2014!H8="e",Mehrheitsrechner_ab_11_2014!G8="x"),1,0)</f>
        <v>0</v>
      </c>
      <c r="Q8" s="261">
        <f>IF(Mehrheitsrechner_ab_11_2014!G33&lt;28, IF(AND(SUM(Q9:Q32)&lt;1,'Technische Tabelle'!N8&lt;1),Mehrheitsrechner_ab_11_2014!K8,0),0)</f>
        <v>0</v>
      </c>
      <c r="R8" s="263">
        <f>IF(AND(Mehrheitsrechner_Art_3_II_Prot!C8="n",Mehrheitsrechner_Art_3_II_Prot!B8="x"),1*Mehrheitsrechner_Art_3_II_Prot!F8,0)</f>
        <v>0</v>
      </c>
      <c r="S8" s="260">
        <f>IF(AND(Mehrheitsrechner_Art_238_II!B12="x",Mehrheitsrechner_Art_238_II!C12="J"),1,0)</f>
        <v>1</v>
      </c>
      <c r="T8" s="261">
        <f>IF(AND(Mehrheitsrechner_Art_238_II!B12="x",Mehrheitsrechner_Art_238_II!C12="N"),1,0)</f>
        <v>0</v>
      </c>
      <c r="U8" s="261">
        <f>IF(AND(Mehrheitsrechner_Art_238_II!C12="e",Mehrheitsrechner_Art_238_II!B12="x"),1,0)</f>
        <v>0</v>
      </c>
      <c r="V8" s="261">
        <f>IF(Mehrheitsrechner_ab_11_2014!L33&lt;28, IF(AND(SUM(V9:V32)&lt;1,'Technische Tabelle'!S8&lt;1),Mehrheitsrechner_ab_11_2014!P8,0),0)</f>
        <v>0</v>
      </c>
      <c r="W8" s="263">
        <f>IF(AND(Mehrheitsrechner_Art_238_II!C12="n",Mehrheitsrechner_Art_238_II!B12="x"),1*Mehrheitsrechner_Art_238_II!D12,0)</f>
        <v>0</v>
      </c>
    </row>
    <row r="9" spans="1:23" x14ac:dyDescent="0.2">
      <c r="A9" s="3" t="s">
        <v>8</v>
      </c>
      <c r="B9" s="5">
        <f>IF(Mehrheitsrechner_ab_11_2014!C9="n",1,0)</f>
        <v>0</v>
      </c>
      <c r="C9" s="5">
        <f>IF(Mehrheitsrechner_ab_11_2014!C9="n",1*Mehrheitsrechner_ab_11_2014!D9,0)</f>
        <v>0</v>
      </c>
      <c r="D9" s="5">
        <f>IF(Mehrheitsrechner_Art_238_II!B13="n",1,0)</f>
        <v>0</v>
      </c>
      <c r="E9" s="5">
        <f>IF(Mehrheitsrechner_Art_238_II!B13="n",1*Mehrheitsrechner_Art_238_II!C13,0)</f>
        <v>0</v>
      </c>
      <c r="F9" s="5">
        <f>IF(Mehrheitsrechner_Art_3_II_Prot!C9="n",1,0)</f>
        <v>0</v>
      </c>
      <c r="G9" s="5">
        <f>IF(Mehrheitsrechner_Art_3_II_Prot!C9="n",1*Mehrheitsrechner_Art_3_II_Prot!F9,0)</f>
        <v>0</v>
      </c>
      <c r="I9" s="260">
        <f>IF(AND(Mehrheitsrechner_ab_11_2014!C9="J",Mehrheitsrechner_ab_11_2014!B9="x"),1,0)</f>
        <v>1</v>
      </c>
      <c r="J9" s="261">
        <f>IF(AND(Mehrheitsrechner_ab_11_2014!C9="N",Mehrheitsrechner_ab_11_2014!B9="x"),1,0)</f>
        <v>0</v>
      </c>
      <c r="K9" s="261">
        <f>IF(AND(Mehrheitsrechner_ab_11_2014!C9="e",Mehrheitsrechner_ab_11_2014!B9="x"),1,0)</f>
        <v>0</v>
      </c>
      <c r="L9" s="261">
        <f>IF(Mehrheitsrechner_ab_11_2014!B33&lt;28, IF(AND(SUM(L10:L32)&lt;1,'Technische Tabelle'!I9&lt;1),Mehrheitsrechner_ab_11_2014!F9,0),0)</f>
        <v>0</v>
      </c>
      <c r="M9" s="263">
        <f>IF(AND(Mehrheitsrechner_ab_11_2014!C9="n",Mehrheitsrechner_ab_11_2014!B9="x"),1*Mehrheitsrechner_ab_11_2014!D9,0)</f>
        <v>0</v>
      </c>
      <c r="N9" s="260">
        <f>IF(AND(Mehrheitsrechner_Art_3_II_Prot!B9="x",Mehrheitsrechner_Art_3_II_Prot!C9="J"),1,0)</f>
        <v>1</v>
      </c>
      <c r="O9" s="261">
        <f>IF(AND(Mehrheitsrechner_Art_3_II_Prot!B9="x",Mehrheitsrechner_Art_3_II_Prot!C9="N"),1,0)</f>
        <v>0</v>
      </c>
      <c r="P9" s="261">
        <f>IF(AND(Mehrheitsrechner_ab_11_2014!H9="e",Mehrheitsrechner_ab_11_2014!G9="x"),1,0)</f>
        <v>0</v>
      </c>
      <c r="Q9" s="261">
        <f>IF(Mehrheitsrechner_ab_11_2014!G33&lt;28, IF(AND(SUM(Q10:Q32)&lt;1,'Technische Tabelle'!N9&lt;1),Mehrheitsrechner_ab_11_2014!K9,0),0)</f>
        <v>0</v>
      </c>
      <c r="R9" s="263">
        <f>IF(AND(Mehrheitsrechner_Art_3_II_Prot!C9="n",Mehrheitsrechner_Art_3_II_Prot!B9="x"),1*Mehrheitsrechner_Art_3_II_Prot!F9,0)</f>
        <v>0</v>
      </c>
      <c r="S9" s="260">
        <f>IF(AND(Mehrheitsrechner_Art_238_II!B13="x",Mehrheitsrechner_Art_238_II!C13="J"),1,0)</f>
        <v>1</v>
      </c>
      <c r="T9" s="261">
        <f>IF(AND(Mehrheitsrechner_Art_238_II!B13="x",Mehrheitsrechner_Art_238_II!C13="N"),1,0)</f>
        <v>0</v>
      </c>
      <c r="U9" s="261">
        <f>IF(AND(Mehrheitsrechner_Art_238_II!C13="e",Mehrheitsrechner_Art_238_II!B13="x"),1,0)</f>
        <v>0</v>
      </c>
      <c r="V9" s="261">
        <f>IF(Mehrheitsrechner_ab_11_2014!L33&lt;28, IF(AND(SUM(V10:V32)&lt;1,'Technische Tabelle'!S9&lt;1),Mehrheitsrechner_ab_11_2014!P9,0),0)</f>
        <v>0</v>
      </c>
      <c r="W9" s="263">
        <f>IF(AND(Mehrheitsrechner_Art_238_II!C13="n",Mehrheitsrechner_Art_238_II!B13="x"),1*Mehrheitsrechner_Art_238_II!D13,0)</f>
        <v>0</v>
      </c>
    </row>
    <row r="10" spans="1:23" x14ac:dyDescent="0.2">
      <c r="A10" s="1" t="s">
        <v>9</v>
      </c>
      <c r="B10" s="5">
        <f>IF(Mehrheitsrechner_ab_11_2014!C10="n",1,0)</f>
        <v>0</v>
      </c>
      <c r="C10" s="5">
        <f>IF(Mehrheitsrechner_ab_11_2014!C10="n",1*Mehrheitsrechner_ab_11_2014!D10,0)</f>
        <v>0</v>
      </c>
      <c r="D10" s="5">
        <f>IF(Mehrheitsrechner_Art_238_II!B14="n",1,0)</f>
        <v>0</v>
      </c>
      <c r="E10" s="5">
        <f>IF(Mehrheitsrechner_Art_238_II!B14="n",1*Mehrheitsrechner_Art_238_II!C14,0)</f>
        <v>0</v>
      </c>
      <c r="F10" s="5">
        <f>IF(Mehrheitsrechner_Art_3_II_Prot!C10="n",1,0)</f>
        <v>0</v>
      </c>
      <c r="G10" s="5">
        <f>IF(Mehrheitsrechner_Art_3_II_Prot!C10="n",1*Mehrheitsrechner_Art_3_II_Prot!F10,0)</f>
        <v>0</v>
      </c>
      <c r="I10" s="260">
        <f>IF(AND(Mehrheitsrechner_ab_11_2014!C10="J",Mehrheitsrechner_ab_11_2014!B10="x"),1,0)</f>
        <v>1</v>
      </c>
      <c r="J10" s="261">
        <f>IF(AND(Mehrheitsrechner_ab_11_2014!C10="N",Mehrheitsrechner_ab_11_2014!B10="x"),1,0)</f>
        <v>0</v>
      </c>
      <c r="K10" s="261">
        <f>IF(AND(Mehrheitsrechner_ab_11_2014!C10="e",Mehrheitsrechner_ab_11_2014!B10="x"),1,0)</f>
        <v>0</v>
      </c>
      <c r="L10" s="261">
        <f>IF(Mehrheitsrechner_ab_11_2014!B33&lt;28, IF(AND(SUM(L11:L32)&lt;1,'Technische Tabelle'!I10&lt;1),Mehrheitsrechner_ab_11_2014!F10,0),0)</f>
        <v>0</v>
      </c>
      <c r="M10" s="263">
        <f>IF(AND(Mehrheitsrechner_ab_11_2014!C10="n",Mehrheitsrechner_ab_11_2014!B10="x"),1*Mehrheitsrechner_ab_11_2014!D10,0)</f>
        <v>0</v>
      </c>
      <c r="N10" s="260">
        <f>IF(AND(Mehrheitsrechner_Art_3_II_Prot!B10="x",Mehrheitsrechner_Art_3_II_Prot!C10="J"),1,0)</f>
        <v>1</v>
      </c>
      <c r="O10" s="261">
        <f>IF(AND(Mehrheitsrechner_Art_3_II_Prot!B10="x",Mehrheitsrechner_Art_3_II_Prot!C10="N"),1,0)</f>
        <v>0</v>
      </c>
      <c r="P10" s="261">
        <f>IF(AND(Mehrheitsrechner_ab_11_2014!H10="e",Mehrheitsrechner_ab_11_2014!G10="x"),1,0)</f>
        <v>0</v>
      </c>
      <c r="Q10" s="261">
        <f>IF(Mehrheitsrechner_ab_11_2014!G33&lt;28, IF(AND(SUM(Q11:Q32)&lt;1,'Technische Tabelle'!N10&lt;1),Mehrheitsrechner_ab_11_2014!K10,0),0)</f>
        <v>0</v>
      </c>
      <c r="R10" s="263">
        <f>IF(AND(Mehrheitsrechner_Art_3_II_Prot!C10="n",Mehrheitsrechner_Art_3_II_Prot!B10="x"),1*Mehrheitsrechner_Art_3_II_Prot!F10,0)</f>
        <v>0</v>
      </c>
      <c r="S10" s="260">
        <f>IF(AND(Mehrheitsrechner_Art_238_II!B14="x",Mehrheitsrechner_Art_238_II!C14="J"),1,0)</f>
        <v>1</v>
      </c>
      <c r="T10" s="261">
        <f>IF(AND(Mehrheitsrechner_Art_238_II!B14="x",Mehrheitsrechner_Art_238_II!C14="N"),1,0)</f>
        <v>0</v>
      </c>
      <c r="U10" s="261">
        <f>IF(AND(Mehrheitsrechner_Art_238_II!C14="e",Mehrheitsrechner_Art_238_II!B14="x"),1,0)</f>
        <v>0</v>
      </c>
      <c r="V10" s="261">
        <f>IF(Mehrheitsrechner_ab_11_2014!L33&lt;28, IF(AND(SUM(V11:V32)&lt;1,'Technische Tabelle'!S10&lt;1),Mehrheitsrechner_ab_11_2014!P10,0),0)</f>
        <v>0</v>
      </c>
      <c r="W10" s="263">
        <f>IF(AND(Mehrheitsrechner_Art_238_II!C14="n",Mehrheitsrechner_Art_238_II!B14="x"),1*Mehrheitsrechner_Art_238_II!D14,0)</f>
        <v>0</v>
      </c>
    </row>
    <row r="11" spans="1:23" x14ac:dyDescent="0.2">
      <c r="A11" s="3" t="s">
        <v>10</v>
      </c>
      <c r="B11" s="5">
        <f>IF(Mehrheitsrechner_ab_11_2014!C11="n",1,0)</f>
        <v>0</v>
      </c>
      <c r="C11" s="5">
        <f>IF(Mehrheitsrechner_ab_11_2014!C11="n",1*Mehrheitsrechner_ab_11_2014!D11,0)</f>
        <v>0</v>
      </c>
      <c r="D11" s="5">
        <f>IF(Mehrheitsrechner_Art_238_II!B15="n",1,0)</f>
        <v>0</v>
      </c>
      <c r="E11" s="5">
        <f>IF(Mehrheitsrechner_Art_238_II!B15="n",1*Mehrheitsrechner_Art_238_II!C15,0)</f>
        <v>0</v>
      </c>
      <c r="F11" s="5">
        <f>IF(Mehrheitsrechner_Art_3_II_Prot!C11="n",1,0)</f>
        <v>0</v>
      </c>
      <c r="G11" s="5">
        <f>IF(Mehrheitsrechner_Art_3_II_Prot!C11="n",1*Mehrheitsrechner_Art_3_II_Prot!F11,0)</f>
        <v>0</v>
      </c>
      <c r="I11" s="260">
        <f>IF(AND(Mehrheitsrechner_ab_11_2014!C11="J",Mehrheitsrechner_ab_11_2014!B11="x"),1,0)</f>
        <v>1</v>
      </c>
      <c r="J11" s="261">
        <f>IF(AND(Mehrheitsrechner_ab_11_2014!C11="N",Mehrheitsrechner_ab_11_2014!B11="x"),1,0)</f>
        <v>0</v>
      </c>
      <c r="K11" s="261">
        <f>IF(AND(Mehrheitsrechner_ab_11_2014!C11="e",Mehrheitsrechner_ab_11_2014!B11="x"),1,0)</f>
        <v>0</v>
      </c>
      <c r="L11" s="261">
        <f>IF(Mehrheitsrechner_ab_11_2014!B33&lt;28, IF(AND(SUM(L12:L32)&lt;1,'Technische Tabelle'!I11&lt;1),Mehrheitsrechner_ab_11_2014!F11,0),0)</f>
        <v>0</v>
      </c>
      <c r="M11" s="263">
        <f>IF(AND(Mehrheitsrechner_ab_11_2014!C11="n",Mehrheitsrechner_ab_11_2014!B11="x"),1*Mehrheitsrechner_ab_11_2014!D11,0)</f>
        <v>0</v>
      </c>
      <c r="N11" s="260">
        <f>IF(AND(Mehrheitsrechner_Art_3_II_Prot!B11="x",Mehrheitsrechner_Art_3_II_Prot!C11="J"),1,0)</f>
        <v>1</v>
      </c>
      <c r="O11" s="261">
        <f>IF(AND(Mehrheitsrechner_Art_3_II_Prot!B11="x",Mehrheitsrechner_Art_3_II_Prot!C11="N"),1,0)</f>
        <v>0</v>
      </c>
      <c r="P11" s="261">
        <f>IF(AND(Mehrheitsrechner_ab_11_2014!H11="e",Mehrheitsrechner_ab_11_2014!G11="x"),1,0)</f>
        <v>0</v>
      </c>
      <c r="Q11" s="261">
        <f>IF(Mehrheitsrechner_ab_11_2014!G33&lt;28, IF(AND(SUM(Q12:Q32)&lt;1,'Technische Tabelle'!N11&lt;1),Mehrheitsrechner_ab_11_2014!K11,0),0)</f>
        <v>0</v>
      </c>
      <c r="R11" s="263">
        <f>IF(AND(Mehrheitsrechner_Art_3_II_Prot!C11="n",Mehrheitsrechner_Art_3_II_Prot!B11="x"),1*Mehrheitsrechner_Art_3_II_Prot!F11,0)</f>
        <v>0</v>
      </c>
      <c r="S11" s="260">
        <f>IF(AND(Mehrheitsrechner_Art_238_II!B15="x",Mehrheitsrechner_Art_238_II!C15="J"),1,0)</f>
        <v>1</v>
      </c>
      <c r="T11" s="261">
        <f>IF(AND(Mehrheitsrechner_Art_238_II!B15="x",Mehrheitsrechner_Art_238_II!C15="N"),1,0)</f>
        <v>0</v>
      </c>
      <c r="U11" s="261">
        <f>IF(AND(Mehrheitsrechner_Art_238_II!C15="e",Mehrheitsrechner_Art_238_II!B15="x"),1,0)</f>
        <v>0</v>
      </c>
      <c r="V11" s="261">
        <f>IF(Mehrheitsrechner_ab_11_2014!L33&lt;28, IF(AND(SUM(V12:V32)&lt;1,'Technische Tabelle'!S11&lt;1),Mehrheitsrechner_ab_11_2014!P11,0),0)</f>
        <v>0</v>
      </c>
      <c r="W11" s="263">
        <f>IF(AND(Mehrheitsrechner_Art_238_II!C15="n",Mehrheitsrechner_Art_238_II!B15="x"),1*Mehrheitsrechner_Art_238_II!D15,0)</f>
        <v>0</v>
      </c>
    </row>
    <row r="12" spans="1:23" x14ac:dyDescent="0.2">
      <c r="A12" s="1" t="s">
        <v>11</v>
      </c>
      <c r="B12" s="5">
        <f>IF(Mehrheitsrechner_ab_11_2014!C12="n",1,0)</f>
        <v>0</v>
      </c>
      <c r="C12" s="5">
        <f>IF(Mehrheitsrechner_ab_11_2014!C12="n",1*Mehrheitsrechner_ab_11_2014!D12,0)</f>
        <v>0</v>
      </c>
      <c r="D12" s="5">
        <f>IF(Mehrheitsrechner_Art_238_II!B16="n",1,0)</f>
        <v>0</v>
      </c>
      <c r="E12" s="5">
        <f>IF(Mehrheitsrechner_Art_238_II!B16="n",1*Mehrheitsrechner_Art_238_II!C16,0)</f>
        <v>0</v>
      </c>
      <c r="F12" s="5">
        <f>IF(Mehrheitsrechner_Art_3_II_Prot!C12="n",1,0)</f>
        <v>0</v>
      </c>
      <c r="G12" s="5">
        <f>IF(Mehrheitsrechner_Art_3_II_Prot!C12="n",1*Mehrheitsrechner_Art_3_II_Prot!F12,0)</f>
        <v>0</v>
      </c>
      <c r="I12" s="260">
        <f>IF(AND(Mehrheitsrechner_ab_11_2014!C12="J",Mehrheitsrechner_ab_11_2014!B12="x"),1,0)</f>
        <v>1</v>
      </c>
      <c r="J12" s="261">
        <f>IF(AND(Mehrheitsrechner_ab_11_2014!C12="N",Mehrheitsrechner_ab_11_2014!B12="x"),1,0)</f>
        <v>0</v>
      </c>
      <c r="K12" s="261">
        <f>IF(AND(Mehrheitsrechner_ab_11_2014!C12="e",Mehrheitsrechner_ab_11_2014!B12="x"),1,0)</f>
        <v>0</v>
      </c>
      <c r="L12" s="261">
        <f>IF(Mehrheitsrechner_ab_11_2014!B33&lt;28, IF(AND(SUM(L13:L32)&lt;1,'Technische Tabelle'!I12&lt;1),Mehrheitsrechner_ab_11_2014!F12,0),0)</f>
        <v>0</v>
      </c>
      <c r="M12" s="263">
        <f>IF(AND(Mehrheitsrechner_ab_11_2014!C12="n",Mehrheitsrechner_ab_11_2014!B12="x"),1*Mehrheitsrechner_ab_11_2014!D12,0)</f>
        <v>0</v>
      </c>
      <c r="N12" s="260">
        <f>IF(AND(Mehrheitsrechner_Art_3_II_Prot!B12="x",Mehrheitsrechner_Art_3_II_Prot!C12="J"),1,0)</f>
        <v>1</v>
      </c>
      <c r="O12" s="261">
        <f>IF(AND(Mehrheitsrechner_Art_3_II_Prot!B12="x",Mehrheitsrechner_Art_3_II_Prot!C12="N"),1,0)</f>
        <v>0</v>
      </c>
      <c r="P12" s="261">
        <f>IF(AND(Mehrheitsrechner_ab_11_2014!H12="e",Mehrheitsrechner_ab_11_2014!G12="x"),1,0)</f>
        <v>0</v>
      </c>
      <c r="Q12" s="261">
        <f>IF(Mehrheitsrechner_ab_11_2014!G33&lt;28, IF(AND(SUM(Q13:Q32)&lt;1,'Technische Tabelle'!N12&lt;1),Mehrheitsrechner_ab_11_2014!K12,0),0)</f>
        <v>0</v>
      </c>
      <c r="R12" s="263">
        <f>IF(AND(Mehrheitsrechner_Art_3_II_Prot!C12="n",Mehrheitsrechner_Art_3_II_Prot!B12="x"),1*Mehrheitsrechner_Art_3_II_Prot!F12,0)</f>
        <v>0</v>
      </c>
      <c r="S12" s="260">
        <f>IF(AND(Mehrheitsrechner_Art_238_II!B16="x",Mehrheitsrechner_Art_238_II!C16="J"),1,0)</f>
        <v>1</v>
      </c>
      <c r="T12" s="261">
        <f>IF(AND(Mehrheitsrechner_Art_238_II!B16="x",Mehrheitsrechner_Art_238_II!C16="N"),1,0)</f>
        <v>0</v>
      </c>
      <c r="U12" s="261">
        <f>IF(AND(Mehrheitsrechner_Art_238_II!C16="e",Mehrheitsrechner_Art_238_II!B16="x"),1,0)</f>
        <v>0</v>
      </c>
      <c r="V12" s="261">
        <f>IF(Mehrheitsrechner_ab_11_2014!L33&lt;28, IF(AND(SUM(V13:V32)&lt;1,'Technische Tabelle'!S12&lt;1),Mehrheitsrechner_ab_11_2014!P12,0),0)</f>
        <v>0</v>
      </c>
      <c r="W12" s="263">
        <f>IF(AND(Mehrheitsrechner_Art_238_II!C16="n",Mehrheitsrechner_Art_238_II!B16="x"),1*Mehrheitsrechner_Art_238_II!D16,0)</f>
        <v>0</v>
      </c>
    </row>
    <row r="13" spans="1:23" x14ac:dyDescent="0.2">
      <c r="A13" s="3" t="s">
        <v>12</v>
      </c>
      <c r="B13" s="5">
        <f>IF(Mehrheitsrechner_ab_11_2014!C13="n",1,0)</f>
        <v>0</v>
      </c>
      <c r="C13" s="5">
        <f>IF(Mehrheitsrechner_ab_11_2014!C13="n",1*Mehrheitsrechner_ab_11_2014!D13,0)</f>
        <v>0</v>
      </c>
      <c r="D13" s="5">
        <f>IF(Mehrheitsrechner_Art_238_II!B17="n",1,0)</f>
        <v>0</v>
      </c>
      <c r="E13" s="5">
        <f>IF(Mehrheitsrechner_Art_238_II!B17="n",1*Mehrheitsrechner_Art_238_II!C17,0)</f>
        <v>0</v>
      </c>
      <c r="F13" s="5">
        <f>IF(Mehrheitsrechner_Art_3_II_Prot!C13="n",1,0)</f>
        <v>0</v>
      </c>
      <c r="G13" s="5">
        <f>IF(Mehrheitsrechner_Art_3_II_Prot!C13="n",1*Mehrheitsrechner_Art_3_II_Prot!F13,0)</f>
        <v>0</v>
      </c>
      <c r="I13" s="260">
        <f>IF(AND(Mehrheitsrechner_ab_11_2014!C13="J",Mehrheitsrechner_ab_11_2014!B13="x"),1,0)</f>
        <v>1</v>
      </c>
      <c r="J13" s="261">
        <f>IF(AND(Mehrheitsrechner_ab_11_2014!C13="N",Mehrheitsrechner_ab_11_2014!B13="x"),1,0)</f>
        <v>0</v>
      </c>
      <c r="K13" s="261">
        <f>IF(AND(Mehrheitsrechner_ab_11_2014!C13="e",Mehrheitsrechner_ab_11_2014!B13="x"),1,0)</f>
        <v>0</v>
      </c>
      <c r="L13" s="261">
        <f>IF(Mehrheitsrechner_ab_11_2014!B33&lt;28, IF(AND(SUM(L14:L32)&lt;1,'Technische Tabelle'!I13&lt;1),Mehrheitsrechner_ab_11_2014!F13,0),0)</f>
        <v>0</v>
      </c>
      <c r="M13" s="263">
        <f>IF(AND(Mehrheitsrechner_ab_11_2014!C13="n",Mehrheitsrechner_ab_11_2014!B13="x"),1*Mehrheitsrechner_ab_11_2014!D13,0)</f>
        <v>0</v>
      </c>
      <c r="N13" s="260">
        <f>IF(AND(Mehrheitsrechner_Art_3_II_Prot!B13="x",Mehrheitsrechner_Art_3_II_Prot!C13="J"),1,0)</f>
        <v>1</v>
      </c>
      <c r="O13" s="261">
        <f>IF(AND(Mehrheitsrechner_Art_3_II_Prot!B13="x",Mehrheitsrechner_Art_3_II_Prot!C13="N"),1,0)</f>
        <v>0</v>
      </c>
      <c r="P13" s="261">
        <f>IF(AND(Mehrheitsrechner_ab_11_2014!H13="e",Mehrheitsrechner_ab_11_2014!G13="x"),1,0)</f>
        <v>0</v>
      </c>
      <c r="Q13" s="261">
        <f>IF(Mehrheitsrechner_ab_11_2014!G33&lt;28, IF(AND(SUM(Q14:Q32)&lt;1,'Technische Tabelle'!N13&lt;1),Mehrheitsrechner_ab_11_2014!K13,0),0)</f>
        <v>0</v>
      </c>
      <c r="R13" s="263">
        <f>IF(AND(Mehrheitsrechner_Art_3_II_Prot!C13="n",Mehrheitsrechner_Art_3_II_Prot!B13="x"),1*Mehrheitsrechner_Art_3_II_Prot!F13,0)</f>
        <v>0</v>
      </c>
      <c r="S13" s="260">
        <f>IF(AND(Mehrheitsrechner_Art_238_II!B17="x",Mehrheitsrechner_Art_238_II!C17="J"),1,0)</f>
        <v>1</v>
      </c>
      <c r="T13" s="261">
        <f>IF(AND(Mehrheitsrechner_Art_238_II!B17="x",Mehrheitsrechner_Art_238_II!C17="N"),1,0)</f>
        <v>0</v>
      </c>
      <c r="U13" s="261">
        <f>IF(AND(Mehrheitsrechner_Art_238_II!C17="e",Mehrheitsrechner_Art_238_II!B17="x"),1,0)</f>
        <v>0</v>
      </c>
      <c r="V13" s="261">
        <f>IF(Mehrheitsrechner_ab_11_2014!L33&lt;28, IF(AND(SUM(V14:V32)&lt;1,'Technische Tabelle'!S13&lt;1),Mehrheitsrechner_ab_11_2014!P13,0),0)</f>
        <v>0</v>
      </c>
      <c r="W13" s="263">
        <f>IF(AND(Mehrheitsrechner_Art_238_II!C17="n",Mehrheitsrechner_Art_238_II!B17="x"),1*Mehrheitsrechner_Art_238_II!D17,0)</f>
        <v>0</v>
      </c>
    </row>
    <row r="14" spans="1:23" x14ac:dyDescent="0.2">
      <c r="A14" s="1" t="s">
        <v>13</v>
      </c>
      <c r="B14" s="5">
        <f>IF(Mehrheitsrechner_ab_11_2014!C14="n",1,0)</f>
        <v>0</v>
      </c>
      <c r="C14" s="5">
        <f>IF(Mehrheitsrechner_ab_11_2014!C14="n",1*Mehrheitsrechner_ab_11_2014!D14,0)</f>
        <v>0</v>
      </c>
      <c r="D14" s="5">
        <f>IF(Mehrheitsrechner_Art_238_II!B18="n",1,0)</f>
        <v>0</v>
      </c>
      <c r="E14" s="5">
        <f>IF(Mehrheitsrechner_Art_238_II!B18="n",1*Mehrheitsrechner_Art_238_II!C18,0)</f>
        <v>0</v>
      </c>
      <c r="F14" s="5">
        <f>IF(Mehrheitsrechner_Art_3_II_Prot!C14="n",1,0)</f>
        <v>0</v>
      </c>
      <c r="G14" s="5">
        <f>IF(Mehrheitsrechner_Art_3_II_Prot!C14="n",1*Mehrheitsrechner_Art_3_II_Prot!F14,0)</f>
        <v>0</v>
      </c>
      <c r="I14" s="260">
        <f>IF(AND(Mehrheitsrechner_ab_11_2014!C14="J",Mehrheitsrechner_ab_11_2014!B14="x"),1,0)</f>
        <v>1</v>
      </c>
      <c r="J14" s="261">
        <f>IF(AND(Mehrheitsrechner_ab_11_2014!C14="N",Mehrheitsrechner_ab_11_2014!B14="x"),1,0)</f>
        <v>0</v>
      </c>
      <c r="K14" s="261">
        <f>IF(AND(Mehrheitsrechner_ab_11_2014!C14="e",Mehrheitsrechner_ab_11_2014!B14="x"),1,0)</f>
        <v>0</v>
      </c>
      <c r="L14" s="261">
        <f>IF(Mehrheitsrechner_ab_11_2014!B33&lt;28, IF(AND(SUM(L15:L32)&lt;1,'Technische Tabelle'!I14&lt;1),Mehrheitsrechner_ab_11_2014!F14,0),0)</f>
        <v>0</v>
      </c>
      <c r="M14" s="263">
        <f>IF(AND(Mehrheitsrechner_ab_11_2014!C14="n",Mehrheitsrechner_ab_11_2014!B14="x"),1*Mehrheitsrechner_ab_11_2014!D14,0)</f>
        <v>0</v>
      </c>
      <c r="N14" s="260">
        <f>IF(AND(Mehrheitsrechner_Art_3_II_Prot!B14="x",Mehrheitsrechner_Art_3_II_Prot!C14="J"),1,0)</f>
        <v>1</v>
      </c>
      <c r="O14" s="261">
        <f>IF(AND(Mehrheitsrechner_Art_3_II_Prot!B14="x",Mehrheitsrechner_Art_3_II_Prot!C14="N"),1,0)</f>
        <v>0</v>
      </c>
      <c r="P14" s="261">
        <f>IF(AND(Mehrheitsrechner_ab_11_2014!H14="e",Mehrheitsrechner_ab_11_2014!G14="x"),1,0)</f>
        <v>0</v>
      </c>
      <c r="Q14" s="261">
        <f>IF(Mehrheitsrechner_ab_11_2014!G33&lt;28, IF(AND(SUM(Q15:Q32)&lt;1,'Technische Tabelle'!N14&lt;1),Mehrheitsrechner_ab_11_2014!K14,0),0)</f>
        <v>0</v>
      </c>
      <c r="R14" s="263">
        <f>IF(AND(Mehrheitsrechner_Art_3_II_Prot!C14="n",Mehrheitsrechner_Art_3_II_Prot!B14="x"),1*Mehrheitsrechner_Art_3_II_Prot!F14,0)</f>
        <v>0</v>
      </c>
      <c r="S14" s="260">
        <f>IF(AND(Mehrheitsrechner_Art_238_II!B18="x",Mehrheitsrechner_Art_238_II!C18="J"),1,0)</f>
        <v>1</v>
      </c>
      <c r="T14" s="261">
        <f>IF(AND(Mehrheitsrechner_Art_238_II!B18="x",Mehrheitsrechner_Art_238_II!C18="N"),1,0)</f>
        <v>0</v>
      </c>
      <c r="U14" s="261">
        <f>IF(AND(Mehrheitsrechner_Art_238_II!C18="e",Mehrheitsrechner_Art_238_II!B18="x"),1,0)</f>
        <v>0</v>
      </c>
      <c r="V14" s="261">
        <f>IF(Mehrheitsrechner_ab_11_2014!L33&lt;28, IF(AND(SUM(V15:V32)&lt;1,'Technische Tabelle'!S14&lt;1),Mehrheitsrechner_ab_11_2014!P14,0),0)</f>
        <v>0</v>
      </c>
      <c r="W14" s="263">
        <f>IF(AND(Mehrheitsrechner_Art_238_II!C18="n",Mehrheitsrechner_Art_238_II!B18="x"),1*Mehrheitsrechner_Art_238_II!D18,0)</f>
        <v>0</v>
      </c>
    </row>
    <row r="15" spans="1:23" x14ac:dyDescent="0.2">
      <c r="A15" s="3" t="s">
        <v>14</v>
      </c>
      <c r="B15" s="5">
        <f>IF(Mehrheitsrechner_ab_11_2014!C15="n",1,0)</f>
        <v>0</v>
      </c>
      <c r="C15" s="5">
        <f>IF(Mehrheitsrechner_ab_11_2014!C15="n",1*Mehrheitsrechner_ab_11_2014!D15,0)</f>
        <v>0</v>
      </c>
      <c r="D15" s="5">
        <f>IF(Mehrheitsrechner_Art_238_II!B19="n",1,0)</f>
        <v>0</v>
      </c>
      <c r="E15" s="5">
        <f>IF(Mehrheitsrechner_Art_238_II!B19="n",1*Mehrheitsrechner_Art_238_II!C19,0)</f>
        <v>0</v>
      </c>
      <c r="F15" s="5">
        <f>IF(Mehrheitsrechner_Art_3_II_Prot!C15="n",1,0)</f>
        <v>0</v>
      </c>
      <c r="G15" s="5">
        <f>IF(Mehrheitsrechner_Art_3_II_Prot!C15="n",1*Mehrheitsrechner_Art_3_II_Prot!F15,0)</f>
        <v>0</v>
      </c>
      <c r="I15" s="260">
        <f>IF(AND(Mehrheitsrechner_ab_11_2014!C15="J",Mehrheitsrechner_ab_11_2014!B15="x"),1,0)</f>
        <v>1</v>
      </c>
      <c r="J15" s="261">
        <f>IF(AND(Mehrheitsrechner_ab_11_2014!C15="N",Mehrheitsrechner_ab_11_2014!B15="x"),1,0)</f>
        <v>0</v>
      </c>
      <c r="K15" s="261">
        <f>IF(AND(Mehrheitsrechner_ab_11_2014!C15="e",Mehrheitsrechner_ab_11_2014!B15="x"),1,0)</f>
        <v>0</v>
      </c>
      <c r="L15" s="261">
        <f>IF(Mehrheitsrechner_ab_11_2014!B33&lt;28, IF(AND(SUM(L16:L32)&lt;1,'Technische Tabelle'!I15&lt;1),Mehrheitsrechner_ab_11_2014!F15,0),0)</f>
        <v>0</v>
      </c>
      <c r="M15" s="263">
        <f>IF(AND(Mehrheitsrechner_ab_11_2014!C15="n",Mehrheitsrechner_ab_11_2014!B15="x"),1*Mehrheitsrechner_ab_11_2014!D15,0)</f>
        <v>0</v>
      </c>
      <c r="N15" s="260">
        <f>IF(AND(Mehrheitsrechner_Art_3_II_Prot!B15="x",Mehrheitsrechner_Art_3_II_Prot!C15="J"),1,0)</f>
        <v>1</v>
      </c>
      <c r="O15" s="261">
        <f>IF(AND(Mehrheitsrechner_Art_3_II_Prot!B15="x",Mehrheitsrechner_Art_3_II_Prot!C15="N"),1,0)</f>
        <v>0</v>
      </c>
      <c r="P15" s="261">
        <f>IF(AND(Mehrheitsrechner_ab_11_2014!H15="e",Mehrheitsrechner_ab_11_2014!G15="x"),1,0)</f>
        <v>0</v>
      </c>
      <c r="Q15" s="261">
        <f>IF(Mehrheitsrechner_ab_11_2014!G33&lt;28, IF(AND(SUM(Q16:Q32)&lt;1,'Technische Tabelle'!N15&lt;1),Mehrheitsrechner_ab_11_2014!K15,0),0)</f>
        <v>0</v>
      </c>
      <c r="R15" s="263">
        <f>IF(AND(Mehrheitsrechner_Art_3_II_Prot!C15="n",Mehrheitsrechner_Art_3_II_Prot!B15="x"),1*Mehrheitsrechner_Art_3_II_Prot!F15,0)</f>
        <v>0</v>
      </c>
      <c r="S15" s="260">
        <f>IF(AND(Mehrheitsrechner_Art_238_II!B19="x",Mehrheitsrechner_Art_238_II!C19="J"),1,0)</f>
        <v>1</v>
      </c>
      <c r="T15" s="261">
        <f>IF(AND(Mehrheitsrechner_Art_238_II!B19="x",Mehrheitsrechner_Art_238_II!C19="N"),1,0)</f>
        <v>0</v>
      </c>
      <c r="U15" s="261">
        <f>IF(AND(Mehrheitsrechner_Art_238_II!C19="e",Mehrheitsrechner_Art_238_II!B19="x"),1,0)</f>
        <v>0</v>
      </c>
      <c r="V15" s="261">
        <f>IF(Mehrheitsrechner_ab_11_2014!L33&lt;28, IF(AND(SUM(V16:V32)&lt;1,'Technische Tabelle'!S15&lt;1),Mehrheitsrechner_ab_11_2014!P15,0),0)</f>
        <v>0</v>
      </c>
      <c r="W15" s="263">
        <f>IF(AND(Mehrheitsrechner_Art_238_II!C19="n",Mehrheitsrechner_Art_238_II!B19="x"),1*Mehrheitsrechner_Art_238_II!D19,0)</f>
        <v>0</v>
      </c>
    </row>
    <row r="16" spans="1:23" x14ac:dyDescent="0.2">
      <c r="A16" s="1" t="s">
        <v>15</v>
      </c>
      <c r="B16" s="5">
        <f>IF(Mehrheitsrechner_ab_11_2014!C16="n",1,0)</f>
        <v>0</v>
      </c>
      <c r="C16" s="5">
        <f>IF(Mehrheitsrechner_ab_11_2014!C16="n",1*Mehrheitsrechner_ab_11_2014!D16,0)</f>
        <v>0</v>
      </c>
      <c r="D16" s="5">
        <f>IF(Mehrheitsrechner_Art_238_II!B20="n",1,0)</f>
        <v>0</v>
      </c>
      <c r="E16" s="5">
        <f>IF(Mehrheitsrechner_Art_238_II!B20="n",1*Mehrheitsrechner_Art_238_II!C20,0)</f>
        <v>0</v>
      </c>
      <c r="F16" s="5">
        <f>IF(Mehrheitsrechner_Art_3_II_Prot!C16="n",1,0)</f>
        <v>0</v>
      </c>
      <c r="G16" s="5">
        <f>IF(Mehrheitsrechner_Art_3_II_Prot!C16="n",1*Mehrheitsrechner_Art_3_II_Prot!F16,0)</f>
        <v>0</v>
      </c>
      <c r="I16" s="260">
        <f>IF(AND(Mehrheitsrechner_ab_11_2014!C16="J",Mehrheitsrechner_ab_11_2014!B16="x"),1,0)</f>
        <v>1</v>
      </c>
      <c r="J16" s="261">
        <f>IF(AND(Mehrheitsrechner_ab_11_2014!C16="N",Mehrheitsrechner_ab_11_2014!B16="x"),1,0)</f>
        <v>0</v>
      </c>
      <c r="K16" s="261">
        <f>IF(AND(Mehrheitsrechner_ab_11_2014!C16="e",Mehrheitsrechner_ab_11_2014!B16="x"),1,0)</f>
        <v>0</v>
      </c>
      <c r="L16" s="261">
        <f>IF(Mehrheitsrechner_ab_11_2014!B33&lt;28, IF(AND(SUM(L17:L32)&lt;1,'Technische Tabelle'!I16&lt;1),Mehrheitsrechner_ab_11_2014!F16,0),0)</f>
        <v>0</v>
      </c>
      <c r="M16" s="263">
        <f>IF(AND(Mehrheitsrechner_ab_11_2014!C16="n",Mehrheitsrechner_ab_11_2014!B16="x"),1*Mehrheitsrechner_ab_11_2014!D16,0)</f>
        <v>0</v>
      </c>
      <c r="N16" s="260">
        <f>IF(AND(Mehrheitsrechner_Art_3_II_Prot!B16="x",Mehrheitsrechner_Art_3_II_Prot!C16="J"),1,0)</f>
        <v>1</v>
      </c>
      <c r="O16" s="261">
        <f>IF(AND(Mehrheitsrechner_Art_3_II_Prot!B16="x",Mehrheitsrechner_Art_3_II_Prot!C16="N"),1,0)</f>
        <v>0</v>
      </c>
      <c r="P16" s="261">
        <f>IF(AND(Mehrheitsrechner_ab_11_2014!H16="e",Mehrheitsrechner_ab_11_2014!G16="x"),1,0)</f>
        <v>0</v>
      </c>
      <c r="Q16" s="261">
        <f>IF(Mehrheitsrechner_ab_11_2014!G33&lt;28, IF(AND(SUM(Q17:Q32)&lt;1,'Technische Tabelle'!N16&lt;1),Mehrheitsrechner_ab_11_2014!K16,0),0)</f>
        <v>0</v>
      </c>
      <c r="R16" s="263">
        <f>IF(AND(Mehrheitsrechner_Art_3_II_Prot!C16="n",Mehrheitsrechner_Art_3_II_Prot!B16="x"),1*Mehrheitsrechner_Art_3_II_Prot!F16,0)</f>
        <v>0</v>
      </c>
      <c r="S16" s="260">
        <f>IF(AND(Mehrheitsrechner_Art_238_II!B20="x",Mehrheitsrechner_Art_238_II!C20="J"),1,0)</f>
        <v>1</v>
      </c>
      <c r="T16" s="261">
        <f>IF(AND(Mehrheitsrechner_Art_238_II!B20="x",Mehrheitsrechner_Art_238_II!C20="N"),1,0)</f>
        <v>0</v>
      </c>
      <c r="U16" s="261">
        <f>IF(AND(Mehrheitsrechner_Art_238_II!C20="e",Mehrheitsrechner_Art_238_II!B20="x"),1,0)</f>
        <v>0</v>
      </c>
      <c r="V16" s="261">
        <f>IF(Mehrheitsrechner_ab_11_2014!L33&lt;28, IF(AND(SUM(V17:V32)&lt;1,'Technische Tabelle'!S16&lt;1),Mehrheitsrechner_ab_11_2014!P16,0),0)</f>
        <v>0</v>
      </c>
      <c r="W16" s="263">
        <f>IF(AND(Mehrheitsrechner_Art_238_II!C20="n",Mehrheitsrechner_Art_238_II!B20="x"),1*Mehrheitsrechner_Art_238_II!D20,0)</f>
        <v>0</v>
      </c>
    </row>
    <row r="17" spans="1:23" x14ac:dyDescent="0.2">
      <c r="A17" s="3" t="s">
        <v>16</v>
      </c>
      <c r="B17" s="5">
        <f>IF(Mehrheitsrechner_ab_11_2014!C17="n",1,0)</f>
        <v>0</v>
      </c>
      <c r="C17" s="5">
        <f>IF(Mehrheitsrechner_ab_11_2014!C17="n",1*Mehrheitsrechner_ab_11_2014!D17,0)</f>
        <v>0</v>
      </c>
      <c r="D17" s="5">
        <f>IF(Mehrheitsrechner_Art_238_II!B21="n",1,0)</f>
        <v>0</v>
      </c>
      <c r="E17" s="5">
        <f>IF(Mehrheitsrechner_Art_238_II!B21="n",1*Mehrheitsrechner_Art_238_II!C21,0)</f>
        <v>0</v>
      </c>
      <c r="F17" s="5">
        <f>IF(Mehrheitsrechner_Art_3_II_Prot!C17="n",1,0)</f>
        <v>0</v>
      </c>
      <c r="G17" s="5">
        <f>IF(Mehrheitsrechner_Art_3_II_Prot!C17="n",1*Mehrheitsrechner_Art_3_II_Prot!F17,0)</f>
        <v>0</v>
      </c>
      <c r="I17" s="260">
        <f>IF(AND(Mehrheitsrechner_ab_11_2014!C17="J",Mehrheitsrechner_ab_11_2014!B17="x"),1,0)</f>
        <v>1</v>
      </c>
      <c r="J17" s="261">
        <f>IF(AND(Mehrheitsrechner_ab_11_2014!C17="N",Mehrheitsrechner_ab_11_2014!B17="x"),1,0)</f>
        <v>0</v>
      </c>
      <c r="K17" s="261">
        <f>IF(AND(Mehrheitsrechner_ab_11_2014!C17="e",Mehrheitsrechner_ab_11_2014!B17="x"),1,0)</f>
        <v>0</v>
      </c>
      <c r="L17" s="261">
        <f>IF(Mehrheitsrechner_ab_11_2014!B33&lt;28, IF(AND(SUM(L18:L32)&lt;1,'Technische Tabelle'!I17&lt;1),Mehrheitsrechner_ab_11_2014!F17,0),0)</f>
        <v>0</v>
      </c>
      <c r="M17" s="263">
        <f>IF(AND(Mehrheitsrechner_ab_11_2014!C17="n",Mehrheitsrechner_ab_11_2014!B17="x"),1*Mehrheitsrechner_ab_11_2014!D17,0)</f>
        <v>0</v>
      </c>
      <c r="N17" s="260">
        <f>IF(AND(Mehrheitsrechner_Art_3_II_Prot!B17="x",Mehrheitsrechner_Art_3_II_Prot!C17="J"),1,0)</f>
        <v>1</v>
      </c>
      <c r="O17" s="261">
        <f>IF(AND(Mehrheitsrechner_Art_3_II_Prot!B17="x",Mehrheitsrechner_Art_3_II_Prot!C17="N"),1,0)</f>
        <v>0</v>
      </c>
      <c r="P17" s="261">
        <f>IF(AND(Mehrheitsrechner_ab_11_2014!H17="e",Mehrheitsrechner_ab_11_2014!G17="x"),1,0)</f>
        <v>0</v>
      </c>
      <c r="Q17" s="261">
        <f>IF(Mehrheitsrechner_ab_11_2014!G33&lt;28, IF(AND(SUM(Q18:Q32)&lt;1,'Technische Tabelle'!N17&lt;1),Mehrheitsrechner_ab_11_2014!K17,0),0)</f>
        <v>0</v>
      </c>
      <c r="R17" s="263">
        <f>IF(AND(Mehrheitsrechner_Art_3_II_Prot!C17="n",Mehrheitsrechner_Art_3_II_Prot!B17="x"),1*Mehrheitsrechner_Art_3_II_Prot!F17,0)</f>
        <v>0</v>
      </c>
      <c r="S17" s="260">
        <f>IF(AND(Mehrheitsrechner_Art_238_II!B21="x",Mehrheitsrechner_Art_238_II!C21="J"),1,0)</f>
        <v>1</v>
      </c>
      <c r="T17" s="261">
        <f>IF(AND(Mehrheitsrechner_Art_238_II!B21="x",Mehrheitsrechner_Art_238_II!C21="N"),1,0)</f>
        <v>0</v>
      </c>
      <c r="U17" s="261">
        <f>IF(AND(Mehrheitsrechner_Art_238_II!C21="e",Mehrheitsrechner_Art_238_II!B21="x"),1,0)</f>
        <v>0</v>
      </c>
      <c r="V17" s="261">
        <f>IF(Mehrheitsrechner_ab_11_2014!L33&lt;28, IF(AND(SUM(V18:V32)&lt;1,'Technische Tabelle'!S17&lt;1),Mehrheitsrechner_ab_11_2014!P17,0),0)</f>
        <v>0</v>
      </c>
      <c r="W17" s="263">
        <f>IF(AND(Mehrheitsrechner_Art_238_II!C21="n",Mehrheitsrechner_Art_238_II!B21="x"),1*Mehrheitsrechner_Art_238_II!D21,0)</f>
        <v>0</v>
      </c>
    </row>
    <row r="18" spans="1:23" x14ac:dyDescent="0.2">
      <c r="A18" s="1" t="s">
        <v>18</v>
      </c>
      <c r="B18" s="5">
        <f>IF(Mehrheitsrechner_ab_11_2014!C18="n",1,0)</f>
        <v>0</v>
      </c>
      <c r="C18" s="5">
        <f>IF(Mehrheitsrechner_ab_11_2014!C18="n",1*Mehrheitsrechner_ab_11_2014!D18,0)</f>
        <v>0</v>
      </c>
      <c r="D18" s="5">
        <f>IF(Mehrheitsrechner_Art_238_II!B22="n",1,0)</f>
        <v>0</v>
      </c>
      <c r="E18" s="5">
        <f>IF(Mehrheitsrechner_Art_238_II!B22="n",1*Mehrheitsrechner_Art_238_II!C22,0)</f>
        <v>0</v>
      </c>
      <c r="F18" s="5">
        <f>IF(Mehrheitsrechner_Art_3_II_Prot!C18="n",1,0)</f>
        <v>0</v>
      </c>
      <c r="G18" s="5">
        <f>IF(Mehrheitsrechner_Art_3_II_Prot!C18="n",1*Mehrheitsrechner_Art_3_II_Prot!F18,0)</f>
        <v>0</v>
      </c>
      <c r="I18" s="260">
        <f>IF(AND(Mehrheitsrechner_ab_11_2014!C18="J",Mehrheitsrechner_ab_11_2014!B18="x"),1,0)</f>
        <v>1</v>
      </c>
      <c r="J18" s="261">
        <f>IF(AND(Mehrheitsrechner_ab_11_2014!C18="N",Mehrheitsrechner_ab_11_2014!B18="x"),1,0)</f>
        <v>0</v>
      </c>
      <c r="K18" s="261">
        <f>IF(AND(Mehrheitsrechner_ab_11_2014!C18="e",Mehrheitsrechner_ab_11_2014!B18="x"),1,0)</f>
        <v>0</v>
      </c>
      <c r="L18" s="261">
        <f>IF(Mehrheitsrechner_ab_11_2014!B33&lt;28, IF(AND(SUM(L19:L32)&lt;1,'Technische Tabelle'!I18&lt;1),Mehrheitsrechner_ab_11_2014!F18,0),0)</f>
        <v>0</v>
      </c>
      <c r="M18" s="263">
        <f>IF(AND(Mehrheitsrechner_ab_11_2014!C18="n",Mehrheitsrechner_ab_11_2014!B18="x"),1*Mehrheitsrechner_ab_11_2014!D18,0)</f>
        <v>0</v>
      </c>
      <c r="N18" s="260">
        <f>IF(AND(Mehrheitsrechner_Art_3_II_Prot!B18="x",Mehrheitsrechner_Art_3_II_Prot!C18="J"),1,0)</f>
        <v>1</v>
      </c>
      <c r="O18" s="261">
        <f>IF(AND(Mehrheitsrechner_Art_3_II_Prot!B18="x",Mehrheitsrechner_Art_3_II_Prot!C18="N"),1,0)</f>
        <v>0</v>
      </c>
      <c r="P18" s="261">
        <f>IF(AND(Mehrheitsrechner_ab_11_2014!H18="e",Mehrheitsrechner_ab_11_2014!G18="x"),1,0)</f>
        <v>0</v>
      </c>
      <c r="Q18" s="261">
        <f>IF(Mehrheitsrechner_ab_11_2014!G33&lt;28, IF(AND(SUM(Q19:Q32)&lt;1,'Technische Tabelle'!N18&lt;1),Mehrheitsrechner_ab_11_2014!K18,0),0)</f>
        <v>0</v>
      </c>
      <c r="R18" s="263">
        <f>IF(AND(Mehrheitsrechner_Art_3_II_Prot!C18="n",Mehrheitsrechner_Art_3_II_Prot!B18="x"),1*Mehrheitsrechner_Art_3_II_Prot!F18,0)</f>
        <v>0</v>
      </c>
      <c r="S18" s="260">
        <f>IF(AND(Mehrheitsrechner_Art_238_II!B22="x",Mehrheitsrechner_Art_238_II!C22="J"),1,0)</f>
        <v>1</v>
      </c>
      <c r="T18" s="261">
        <f>IF(AND(Mehrheitsrechner_Art_238_II!B22="x",Mehrheitsrechner_Art_238_II!C22="N"),1,0)</f>
        <v>0</v>
      </c>
      <c r="U18" s="261">
        <f>IF(AND(Mehrheitsrechner_Art_238_II!C22="e",Mehrheitsrechner_Art_238_II!B22="x"),1,0)</f>
        <v>0</v>
      </c>
      <c r="V18" s="261">
        <f>IF(Mehrheitsrechner_ab_11_2014!L33&lt;28, IF(AND(SUM(V19:V32)&lt;1,'Technische Tabelle'!S18&lt;1),Mehrheitsrechner_ab_11_2014!P18,0),0)</f>
        <v>0</v>
      </c>
      <c r="W18" s="263">
        <f>IF(AND(Mehrheitsrechner_Art_238_II!C22="n",Mehrheitsrechner_Art_238_II!B22="x"),1*Mehrheitsrechner_Art_238_II!D22,0)</f>
        <v>0</v>
      </c>
    </row>
    <row r="19" spans="1:23" x14ac:dyDescent="0.2">
      <c r="A19" s="3" t="s">
        <v>19</v>
      </c>
      <c r="B19" s="5">
        <f>IF(Mehrheitsrechner_ab_11_2014!C19="n",1,0)</f>
        <v>0</v>
      </c>
      <c r="C19" s="5">
        <f>IF(Mehrheitsrechner_ab_11_2014!C19="n",1*Mehrheitsrechner_ab_11_2014!D19,0)</f>
        <v>0</v>
      </c>
      <c r="D19" s="5">
        <f>IF(Mehrheitsrechner_Art_238_II!B23="n",1,0)</f>
        <v>0</v>
      </c>
      <c r="E19" s="5">
        <f>IF(Mehrheitsrechner_Art_238_II!B23="n",1*Mehrheitsrechner_Art_238_II!C23,0)</f>
        <v>0</v>
      </c>
      <c r="F19" s="5">
        <f>IF(Mehrheitsrechner_Art_3_II_Prot!C19="n",1,0)</f>
        <v>0</v>
      </c>
      <c r="G19" s="5">
        <f>IF(Mehrheitsrechner_Art_3_II_Prot!C19="n",1*Mehrheitsrechner_Art_3_II_Prot!F19,0)</f>
        <v>0</v>
      </c>
      <c r="I19" s="260">
        <f>IF(AND(Mehrheitsrechner_ab_11_2014!C19="J",Mehrheitsrechner_ab_11_2014!B19="x"),1,0)</f>
        <v>1</v>
      </c>
      <c r="J19" s="261">
        <f>IF(AND(Mehrheitsrechner_ab_11_2014!C19="N",Mehrheitsrechner_ab_11_2014!B19="x"),1,0)</f>
        <v>0</v>
      </c>
      <c r="K19" s="261">
        <f>IF(AND(Mehrheitsrechner_ab_11_2014!C19="e",Mehrheitsrechner_ab_11_2014!B19="x"),1,0)</f>
        <v>0</v>
      </c>
      <c r="L19" s="261">
        <f>IF(Mehrheitsrechner_ab_11_2014!B33&lt;28, IF(AND(SUM(L20:L32)&lt;1,'Technische Tabelle'!I19&lt;1),Mehrheitsrechner_ab_11_2014!F19,0),0)</f>
        <v>0</v>
      </c>
      <c r="M19" s="263">
        <f>IF(AND(Mehrheitsrechner_ab_11_2014!C19="n",Mehrheitsrechner_ab_11_2014!B19="x"),1*Mehrheitsrechner_ab_11_2014!D19,0)</f>
        <v>0</v>
      </c>
      <c r="N19" s="260">
        <f>IF(AND(Mehrheitsrechner_Art_3_II_Prot!B19="x",Mehrheitsrechner_Art_3_II_Prot!C19="J"),1,0)</f>
        <v>1</v>
      </c>
      <c r="O19" s="261">
        <f>IF(AND(Mehrheitsrechner_Art_3_II_Prot!B19="x",Mehrheitsrechner_Art_3_II_Prot!C19="N"),1,0)</f>
        <v>0</v>
      </c>
      <c r="P19" s="261">
        <f>IF(AND(Mehrheitsrechner_ab_11_2014!H19="e",Mehrheitsrechner_ab_11_2014!G19="x"),1,0)</f>
        <v>0</v>
      </c>
      <c r="Q19" s="261">
        <f>IF(Mehrheitsrechner_ab_11_2014!G33&lt;28, IF(AND(SUM(Q20:Q32)&lt;1,'Technische Tabelle'!N19&lt;1),Mehrheitsrechner_ab_11_2014!K19,0),0)</f>
        <v>0</v>
      </c>
      <c r="R19" s="263">
        <f>IF(AND(Mehrheitsrechner_Art_3_II_Prot!C19="n",Mehrheitsrechner_Art_3_II_Prot!B19="x"),1*Mehrheitsrechner_Art_3_II_Prot!F19,0)</f>
        <v>0</v>
      </c>
      <c r="S19" s="260">
        <f>IF(AND(Mehrheitsrechner_Art_238_II!B23="x",Mehrheitsrechner_Art_238_II!C23="J"),1,0)</f>
        <v>1</v>
      </c>
      <c r="T19" s="261">
        <f>IF(AND(Mehrheitsrechner_Art_238_II!B23="x",Mehrheitsrechner_Art_238_II!C23="N"),1,0)</f>
        <v>0</v>
      </c>
      <c r="U19" s="261">
        <f>IF(AND(Mehrheitsrechner_Art_238_II!C23="e",Mehrheitsrechner_Art_238_II!B23="x"),1,0)</f>
        <v>0</v>
      </c>
      <c r="V19" s="261">
        <f>IF(Mehrheitsrechner_ab_11_2014!L33&lt;28, IF(AND(SUM(V20:V32)&lt;1,'Technische Tabelle'!S19&lt;1),Mehrheitsrechner_ab_11_2014!P19,0),0)</f>
        <v>0</v>
      </c>
      <c r="W19" s="263">
        <f>IF(AND(Mehrheitsrechner_Art_238_II!C23="n",Mehrheitsrechner_Art_238_II!B23="x"),1*Mehrheitsrechner_Art_238_II!D23,0)</f>
        <v>0</v>
      </c>
    </row>
    <row r="20" spans="1:23" x14ac:dyDescent="0.2">
      <c r="A20" s="1" t="s">
        <v>20</v>
      </c>
      <c r="B20" s="5">
        <f>IF(Mehrheitsrechner_ab_11_2014!C20="n",1,0)</f>
        <v>0</v>
      </c>
      <c r="C20" s="5">
        <f>IF(Mehrheitsrechner_ab_11_2014!C20="n",1*Mehrheitsrechner_ab_11_2014!D20,0)</f>
        <v>0</v>
      </c>
      <c r="D20" s="5">
        <f>IF(Mehrheitsrechner_Art_238_II!B24="n",1,0)</f>
        <v>0</v>
      </c>
      <c r="E20" s="5">
        <f>IF(Mehrheitsrechner_Art_238_II!B24="n",1*Mehrheitsrechner_Art_238_II!C24,0)</f>
        <v>0</v>
      </c>
      <c r="F20" s="5">
        <f>IF(Mehrheitsrechner_Art_3_II_Prot!C20="n",1,0)</f>
        <v>0</v>
      </c>
      <c r="G20" s="5">
        <f>IF(Mehrheitsrechner_Art_3_II_Prot!C20="n",1*Mehrheitsrechner_Art_3_II_Prot!F20,0)</f>
        <v>0</v>
      </c>
      <c r="I20" s="260">
        <f>IF(AND(Mehrheitsrechner_ab_11_2014!C20="J",Mehrheitsrechner_ab_11_2014!B20="x"),1,0)</f>
        <v>1</v>
      </c>
      <c r="J20" s="261">
        <f>IF(AND(Mehrheitsrechner_ab_11_2014!C20="N",Mehrheitsrechner_ab_11_2014!B20="x"),1,0)</f>
        <v>0</v>
      </c>
      <c r="K20" s="261">
        <f>IF(AND(Mehrheitsrechner_ab_11_2014!C20="e",Mehrheitsrechner_ab_11_2014!B20="x"),1,0)</f>
        <v>0</v>
      </c>
      <c r="L20" s="261">
        <f>IF(Mehrheitsrechner_ab_11_2014!B33&lt;28, IF(AND(SUM(L21:L32)&lt;1,'Technische Tabelle'!I20&lt;1),Mehrheitsrechner_ab_11_2014!F20,0),0)</f>
        <v>0</v>
      </c>
      <c r="M20" s="263">
        <f>IF(AND(Mehrheitsrechner_ab_11_2014!C20="n",Mehrheitsrechner_ab_11_2014!B20="x"),1*Mehrheitsrechner_ab_11_2014!D20,0)</f>
        <v>0</v>
      </c>
      <c r="N20" s="260">
        <f>IF(AND(Mehrheitsrechner_Art_3_II_Prot!B20="x",Mehrheitsrechner_Art_3_II_Prot!C20="J"),1,0)</f>
        <v>1</v>
      </c>
      <c r="O20" s="261">
        <f>IF(AND(Mehrheitsrechner_Art_3_II_Prot!B20="x",Mehrheitsrechner_Art_3_II_Prot!C20="N"),1,0)</f>
        <v>0</v>
      </c>
      <c r="P20" s="261">
        <f>IF(AND(Mehrheitsrechner_ab_11_2014!H20="e",Mehrheitsrechner_ab_11_2014!G20="x"),1,0)</f>
        <v>0</v>
      </c>
      <c r="Q20" s="261">
        <f>IF(Mehrheitsrechner_ab_11_2014!G33&lt;28, IF(AND(SUM(Q21:Q32)&lt;1,'Technische Tabelle'!N20&lt;1),Mehrheitsrechner_ab_11_2014!K20,0),0)</f>
        <v>0</v>
      </c>
      <c r="R20" s="263">
        <f>IF(AND(Mehrheitsrechner_Art_3_II_Prot!C20="n",Mehrheitsrechner_Art_3_II_Prot!B20="x"),1*Mehrheitsrechner_Art_3_II_Prot!F20,0)</f>
        <v>0</v>
      </c>
      <c r="S20" s="260">
        <f>IF(AND(Mehrheitsrechner_Art_238_II!B24="x",Mehrheitsrechner_Art_238_II!C24="J"),1,0)</f>
        <v>1</v>
      </c>
      <c r="T20" s="261">
        <f>IF(AND(Mehrheitsrechner_Art_238_II!B24="x",Mehrheitsrechner_Art_238_II!C24="N"),1,0)</f>
        <v>0</v>
      </c>
      <c r="U20" s="261">
        <f>IF(AND(Mehrheitsrechner_Art_238_II!C24="e",Mehrheitsrechner_Art_238_II!B24="x"),1,0)</f>
        <v>0</v>
      </c>
      <c r="V20" s="261">
        <f>IF(Mehrheitsrechner_ab_11_2014!L33&lt;28, IF(AND(SUM(V21:V32)&lt;1,'Technische Tabelle'!S20&lt;1),Mehrheitsrechner_ab_11_2014!P20,0),0)</f>
        <v>0</v>
      </c>
      <c r="W20" s="263">
        <f>IF(AND(Mehrheitsrechner_Art_238_II!C24="n",Mehrheitsrechner_Art_238_II!B24="x"),1*Mehrheitsrechner_Art_238_II!D24,0)</f>
        <v>0</v>
      </c>
    </row>
    <row r="21" spans="1:23" x14ac:dyDescent="0.2">
      <c r="A21" s="6" t="s">
        <v>21</v>
      </c>
      <c r="B21" s="5">
        <f>IF(Mehrheitsrechner_ab_11_2014!C21="n",1,0)</f>
        <v>0</v>
      </c>
      <c r="C21" s="5">
        <f>IF(Mehrheitsrechner_ab_11_2014!C21="n",1*Mehrheitsrechner_ab_11_2014!D21,0)</f>
        <v>0</v>
      </c>
      <c r="D21" s="5">
        <f>IF(Mehrheitsrechner_Art_238_II!B25="n",1,0)</f>
        <v>0</v>
      </c>
      <c r="E21" s="5">
        <f>IF(Mehrheitsrechner_Art_238_II!B25="n",1*Mehrheitsrechner_Art_238_II!C25,0)</f>
        <v>0</v>
      </c>
      <c r="F21" s="5">
        <f>IF(Mehrheitsrechner_Art_3_II_Prot!C21="n",1,0)</f>
        <v>0</v>
      </c>
      <c r="G21" s="5">
        <f>IF(Mehrheitsrechner_Art_3_II_Prot!C21="n",1*Mehrheitsrechner_Art_3_II_Prot!F21,0)</f>
        <v>0</v>
      </c>
      <c r="I21" s="260">
        <f>IF(AND(Mehrheitsrechner_ab_11_2014!C21="J",Mehrheitsrechner_ab_11_2014!B21="x"),1,0)</f>
        <v>1</v>
      </c>
      <c r="J21" s="261">
        <f>IF(AND(Mehrheitsrechner_ab_11_2014!C21="N",Mehrheitsrechner_ab_11_2014!B21="x"),1,0)</f>
        <v>0</v>
      </c>
      <c r="K21" s="261">
        <f>IF(AND(Mehrheitsrechner_ab_11_2014!C21="e",Mehrheitsrechner_ab_11_2014!B21="x"),1,0)</f>
        <v>0</v>
      </c>
      <c r="L21" s="261">
        <f>IF(Mehrheitsrechner_ab_11_2014!B33&lt;28, IF(AND(SUM(L22:L32)&lt;1,'Technische Tabelle'!I21&lt;1),Mehrheitsrechner_ab_11_2014!F21,0),0)</f>
        <v>0</v>
      </c>
      <c r="M21" s="263">
        <f>IF(AND(Mehrheitsrechner_ab_11_2014!C21="n",Mehrheitsrechner_ab_11_2014!B21="x"),1*Mehrheitsrechner_ab_11_2014!D21,0)</f>
        <v>0</v>
      </c>
      <c r="N21" s="260">
        <f>IF(AND(Mehrheitsrechner_Art_3_II_Prot!B21="x",Mehrheitsrechner_Art_3_II_Prot!C21="J"),1,0)</f>
        <v>1</v>
      </c>
      <c r="O21" s="261">
        <f>IF(AND(Mehrheitsrechner_Art_3_II_Prot!B21="x",Mehrheitsrechner_Art_3_II_Prot!C21="N"),1,0)</f>
        <v>0</v>
      </c>
      <c r="P21" s="261">
        <f>IF(AND(Mehrheitsrechner_ab_11_2014!H21="e",Mehrheitsrechner_ab_11_2014!G21="x"),1,0)</f>
        <v>0</v>
      </c>
      <c r="Q21" s="261">
        <f>IF(Mehrheitsrechner_ab_11_2014!G33&lt;28, IF(AND(SUM(Q22:Q32)&lt;1,'Technische Tabelle'!N21&lt;1),Mehrheitsrechner_ab_11_2014!K21,0),0)</f>
        <v>0</v>
      </c>
      <c r="R21" s="263">
        <f>IF(AND(Mehrheitsrechner_Art_3_II_Prot!C21="n",Mehrheitsrechner_Art_3_II_Prot!B21="x"),1*Mehrheitsrechner_Art_3_II_Prot!F21,0)</f>
        <v>0</v>
      </c>
      <c r="S21" s="260">
        <f>IF(AND(Mehrheitsrechner_Art_238_II!B25="x",Mehrheitsrechner_Art_238_II!C25="J"),1,0)</f>
        <v>1</v>
      </c>
      <c r="T21" s="261">
        <f>IF(AND(Mehrheitsrechner_Art_238_II!B25="x",Mehrheitsrechner_Art_238_II!C25="N"),1,0)</f>
        <v>0</v>
      </c>
      <c r="U21" s="261">
        <f>IF(AND(Mehrheitsrechner_Art_238_II!C25="e",Mehrheitsrechner_Art_238_II!B25="x"),1,0)</f>
        <v>0</v>
      </c>
      <c r="V21" s="261">
        <f>IF(Mehrheitsrechner_ab_11_2014!L33&lt;28, IF(AND(SUM(V22:V32)&lt;1,'Technische Tabelle'!S21&lt;1),Mehrheitsrechner_ab_11_2014!P21,0),0)</f>
        <v>0</v>
      </c>
      <c r="W21" s="263">
        <f>IF(AND(Mehrheitsrechner_Art_238_II!C25="n",Mehrheitsrechner_Art_238_II!B25="x"),1*Mehrheitsrechner_Art_238_II!D25,0)</f>
        <v>0</v>
      </c>
    </row>
    <row r="22" spans="1:23" x14ac:dyDescent="0.2">
      <c r="A22" s="8" t="s">
        <v>22</v>
      </c>
      <c r="B22" s="5">
        <f>IF(Mehrheitsrechner_ab_11_2014!C22="n",1,0)</f>
        <v>0</v>
      </c>
      <c r="C22" s="5">
        <f>IF(Mehrheitsrechner_ab_11_2014!C22="n",1*Mehrheitsrechner_ab_11_2014!D22,0)</f>
        <v>0</v>
      </c>
      <c r="D22" s="5">
        <f>IF(Mehrheitsrechner_Art_238_II!B26="n",1,0)</f>
        <v>0</v>
      </c>
      <c r="E22" s="5">
        <f>IF(Mehrheitsrechner_Art_238_II!B26="n",1*Mehrheitsrechner_Art_238_II!C26,0)</f>
        <v>0</v>
      </c>
      <c r="F22" s="5">
        <f>IF(Mehrheitsrechner_Art_3_II_Prot!C22="n",1,0)</f>
        <v>0</v>
      </c>
      <c r="G22" s="5">
        <f>IF(Mehrheitsrechner_Art_3_II_Prot!C22="n",1*Mehrheitsrechner_Art_3_II_Prot!F22,0)</f>
        <v>0</v>
      </c>
      <c r="I22" s="260">
        <f>IF(AND(Mehrheitsrechner_ab_11_2014!C22="J",Mehrheitsrechner_ab_11_2014!B22="x"),1,0)</f>
        <v>1</v>
      </c>
      <c r="J22" s="261">
        <f>IF(AND(Mehrheitsrechner_ab_11_2014!C22="N",Mehrheitsrechner_ab_11_2014!B22="x"),1,0)</f>
        <v>0</v>
      </c>
      <c r="K22" s="261">
        <f>IF(AND(Mehrheitsrechner_ab_11_2014!C22="e",Mehrheitsrechner_ab_11_2014!B22="x"),1,0)</f>
        <v>0</v>
      </c>
      <c r="L22" s="261">
        <f>IF(Mehrheitsrechner_ab_11_2014!B33&lt;28, IF(AND(SUM(L23:L32)&lt;1,'Technische Tabelle'!I22&lt;1),Mehrheitsrechner_ab_11_2014!F22,0),0)</f>
        <v>0</v>
      </c>
      <c r="M22" s="263">
        <f>IF(AND(Mehrheitsrechner_ab_11_2014!C22="n",Mehrheitsrechner_ab_11_2014!B22="x"),1*Mehrheitsrechner_ab_11_2014!D22,0)</f>
        <v>0</v>
      </c>
      <c r="N22" s="260">
        <f>IF(AND(Mehrheitsrechner_Art_3_II_Prot!B22="x",Mehrheitsrechner_Art_3_II_Prot!C22="J"),1,0)</f>
        <v>1</v>
      </c>
      <c r="O22" s="261">
        <f>IF(AND(Mehrheitsrechner_Art_3_II_Prot!B22="x",Mehrheitsrechner_Art_3_II_Prot!C22="N"),1,0)</f>
        <v>0</v>
      </c>
      <c r="P22" s="261">
        <f>IF(AND(Mehrheitsrechner_ab_11_2014!H22="e",Mehrheitsrechner_ab_11_2014!G22="x"),1,0)</f>
        <v>0</v>
      </c>
      <c r="Q22" s="261">
        <f>IF(Mehrheitsrechner_ab_11_2014!G33&lt;28, IF(AND(SUM(Q23:Q32)&lt;1,'Technische Tabelle'!N22&lt;1),Mehrheitsrechner_ab_11_2014!K22,0),0)</f>
        <v>0</v>
      </c>
      <c r="R22" s="263">
        <f>IF(AND(Mehrheitsrechner_Art_3_II_Prot!C22="n",Mehrheitsrechner_Art_3_II_Prot!B22="x"),1*Mehrheitsrechner_Art_3_II_Prot!F22,0)</f>
        <v>0</v>
      </c>
      <c r="S22" s="260">
        <f>IF(AND(Mehrheitsrechner_Art_238_II!B26="x",Mehrheitsrechner_Art_238_II!C26="J"),1,0)</f>
        <v>1</v>
      </c>
      <c r="T22" s="261">
        <f>IF(AND(Mehrheitsrechner_Art_238_II!B26="x",Mehrheitsrechner_Art_238_II!C26="N"),1,0)</f>
        <v>0</v>
      </c>
      <c r="U22" s="261">
        <f>IF(AND(Mehrheitsrechner_Art_238_II!C26="e",Mehrheitsrechner_Art_238_II!B26="x"),1,0)</f>
        <v>0</v>
      </c>
      <c r="V22" s="261">
        <f>IF(Mehrheitsrechner_ab_11_2014!L33&lt;28, IF(AND(SUM(V23:V32)&lt;1,'Technische Tabelle'!S22&lt;1),Mehrheitsrechner_ab_11_2014!P22,0),0)</f>
        <v>0</v>
      </c>
      <c r="W22" s="263">
        <f>IF(AND(Mehrheitsrechner_Art_238_II!C26="n",Mehrheitsrechner_Art_238_II!B26="x"),1*Mehrheitsrechner_Art_238_II!D26,0)</f>
        <v>0</v>
      </c>
    </row>
    <row r="23" spans="1:23" x14ac:dyDescent="0.2">
      <c r="A23" s="6" t="s">
        <v>23</v>
      </c>
      <c r="B23" s="5">
        <f>IF(Mehrheitsrechner_ab_11_2014!C23="n",1,0)</f>
        <v>0</v>
      </c>
      <c r="C23" s="5">
        <f>IF(Mehrheitsrechner_ab_11_2014!C23="n",1*Mehrheitsrechner_ab_11_2014!D23,0)</f>
        <v>0</v>
      </c>
      <c r="D23" s="5">
        <f>IF(Mehrheitsrechner_Art_238_II!B27="n",1,0)</f>
        <v>0</v>
      </c>
      <c r="E23" s="5">
        <f>IF(Mehrheitsrechner_Art_238_II!B27="n",1*Mehrheitsrechner_Art_238_II!C27,0)</f>
        <v>0</v>
      </c>
      <c r="F23" s="5">
        <f>IF(Mehrheitsrechner_Art_3_II_Prot!C23="n",1,0)</f>
        <v>0</v>
      </c>
      <c r="G23" s="5">
        <f>IF(Mehrheitsrechner_Art_3_II_Prot!C23="n",1*Mehrheitsrechner_Art_3_II_Prot!F23,0)</f>
        <v>0</v>
      </c>
      <c r="I23" s="260">
        <f>IF(AND(Mehrheitsrechner_ab_11_2014!C23="J",Mehrheitsrechner_ab_11_2014!B23="x"),1,0)</f>
        <v>1</v>
      </c>
      <c r="J23" s="261">
        <f>IF(AND(Mehrheitsrechner_ab_11_2014!C23="N",Mehrheitsrechner_ab_11_2014!B23="x"),1,0)</f>
        <v>0</v>
      </c>
      <c r="K23" s="261">
        <f>IF(AND(Mehrheitsrechner_ab_11_2014!C23="e",Mehrheitsrechner_ab_11_2014!B23="x"),1,0)</f>
        <v>0</v>
      </c>
      <c r="L23" s="261">
        <f>IF(Mehrheitsrechner_ab_11_2014!B33&lt;28, IF(AND(SUM(L24:L32)&lt;1,'Technische Tabelle'!I23&lt;1),Mehrheitsrechner_ab_11_2014!F23,0),0)</f>
        <v>0</v>
      </c>
      <c r="M23" s="263">
        <f>IF(AND(Mehrheitsrechner_ab_11_2014!C23="n",Mehrheitsrechner_ab_11_2014!B23="x"),1*Mehrheitsrechner_ab_11_2014!D23,0)</f>
        <v>0</v>
      </c>
      <c r="N23" s="260">
        <f>IF(AND(Mehrheitsrechner_Art_3_II_Prot!B23="x",Mehrheitsrechner_Art_3_II_Prot!C23="J"),1,0)</f>
        <v>1</v>
      </c>
      <c r="O23" s="261">
        <f>IF(AND(Mehrheitsrechner_Art_3_II_Prot!B23="x",Mehrheitsrechner_Art_3_II_Prot!C23="N"),1,0)</f>
        <v>0</v>
      </c>
      <c r="P23" s="261">
        <f>IF(AND(Mehrheitsrechner_ab_11_2014!H23="e",Mehrheitsrechner_ab_11_2014!G23="x"),1,0)</f>
        <v>0</v>
      </c>
      <c r="Q23" s="261">
        <f>IF(Mehrheitsrechner_ab_11_2014!G33&lt;28, IF(AND(SUM(Q24:Q32)&lt;1,'Technische Tabelle'!N23&lt;1),Mehrheitsrechner_ab_11_2014!K23,0),0)</f>
        <v>0</v>
      </c>
      <c r="R23" s="263">
        <f>IF(AND(Mehrheitsrechner_Art_3_II_Prot!C23="n",Mehrheitsrechner_Art_3_II_Prot!B23="x"),1*Mehrheitsrechner_Art_3_II_Prot!F23,0)</f>
        <v>0</v>
      </c>
      <c r="S23" s="260">
        <f>IF(AND(Mehrheitsrechner_Art_238_II!B27="x",Mehrheitsrechner_Art_238_II!C27="J"),1,0)</f>
        <v>1</v>
      </c>
      <c r="T23" s="261">
        <f>IF(AND(Mehrheitsrechner_Art_238_II!B27="x",Mehrheitsrechner_Art_238_II!C27="N"),1,0)</f>
        <v>0</v>
      </c>
      <c r="U23" s="261">
        <f>IF(AND(Mehrheitsrechner_Art_238_II!C27="e",Mehrheitsrechner_Art_238_II!B27="x"),1,0)</f>
        <v>0</v>
      </c>
      <c r="V23" s="261">
        <f>IF(Mehrheitsrechner_ab_11_2014!L33&lt;28, IF(AND(SUM(V24:V32)&lt;1,'Technische Tabelle'!S23&lt;1),Mehrheitsrechner_ab_11_2014!P23,0),0)</f>
        <v>0</v>
      </c>
      <c r="W23" s="263">
        <f>IF(AND(Mehrheitsrechner_Art_238_II!C27="n",Mehrheitsrechner_Art_238_II!B27="x"),1*Mehrheitsrechner_Art_238_II!D27,0)</f>
        <v>0</v>
      </c>
    </row>
    <row r="24" spans="1:23" x14ac:dyDescent="0.2">
      <c r="A24" s="8" t="s">
        <v>24</v>
      </c>
      <c r="B24" s="5">
        <f>IF(Mehrheitsrechner_ab_11_2014!C24="n",1,0)</f>
        <v>0</v>
      </c>
      <c r="C24" s="5">
        <f>IF(Mehrheitsrechner_ab_11_2014!C24="n",1*Mehrheitsrechner_ab_11_2014!D24,0)</f>
        <v>0</v>
      </c>
      <c r="D24" s="5">
        <f>IF(Mehrheitsrechner_Art_238_II!B28="n",1,0)</f>
        <v>0</v>
      </c>
      <c r="E24" s="5">
        <f>IF(Mehrheitsrechner_Art_238_II!B28="n",1*Mehrheitsrechner_Art_238_II!C28,0)</f>
        <v>0</v>
      </c>
      <c r="F24" s="5">
        <f>IF(Mehrheitsrechner_Art_3_II_Prot!C24="n",1,0)</f>
        <v>0</v>
      </c>
      <c r="G24" s="5">
        <f>IF(Mehrheitsrechner_Art_3_II_Prot!C24="n",1*Mehrheitsrechner_Art_3_II_Prot!F24,0)</f>
        <v>0</v>
      </c>
      <c r="I24" s="260">
        <f>IF(AND(Mehrheitsrechner_ab_11_2014!C24="J",Mehrheitsrechner_ab_11_2014!B24="x"),1,0)</f>
        <v>1</v>
      </c>
      <c r="J24" s="261">
        <f>IF(AND(Mehrheitsrechner_ab_11_2014!C24="N",Mehrheitsrechner_ab_11_2014!B24="x"),1,0)</f>
        <v>0</v>
      </c>
      <c r="K24" s="261">
        <f>IF(AND(Mehrheitsrechner_ab_11_2014!C24="e",Mehrheitsrechner_ab_11_2014!B24="x"),1,0)</f>
        <v>0</v>
      </c>
      <c r="L24" s="261">
        <f>IF(Mehrheitsrechner_ab_11_2014!B33&lt;28, IF(AND(SUM(L25:L32)&lt;1,'Technische Tabelle'!I24&lt;1),Mehrheitsrechner_ab_11_2014!F24,0),0)</f>
        <v>0</v>
      </c>
      <c r="M24" s="263">
        <f>IF(AND(Mehrheitsrechner_ab_11_2014!C24="n",Mehrheitsrechner_ab_11_2014!B24="x"),1*Mehrheitsrechner_ab_11_2014!D24,0)</f>
        <v>0</v>
      </c>
      <c r="N24" s="260">
        <f>IF(AND(Mehrheitsrechner_Art_3_II_Prot!B24="x",Mehrheitsrechner_Art_3_II_Prot!C24="J"),1,0)</f>
        <v>1</v>
      </c>
      <c r="O24" s="261">
        <f>IF(AND(Mehrheitsrechner_Art_3_II_Prot!B24="x",Mehrheitsrechner_Art_3_II_Prot!C24="N"),1,0)</f>
        <v>0</v>
      </c>
      <c r="P24" s="261">
        <f>IF(AND(Mehrheitsrechner_ab_11_2014!H24="e",Mehrheitsrechner_ab_11_2014!G24="x"),1,0)</f>
        <v>0</v>
      </c>
      <c r="Q24" s="261">
        <f>IF(Mehrheitsrechner_ab_11_2014!G33&lt;28, IF(AND(SUM(Q25:Q32)&lt;1,'Technische Tabelle'!N24&lt;1),Mehrheitsrechner_ab_11_2014!K24,0),0)</f>
        <v>0</v>
      </c>
      <c r="R24" s="263">
        <f>IF(AND(Mehrheitsrechner_Art_3_II_Prot!C24="n",Mehrheitsrechner_Art_3_II_Prot!B24="x"),1*Mehrheitsrechner_Art_3_II_Prot!F24,0)</f>
        <v>0</v>
      </c>
      <c r="S24" s="260">
        <f>IF(AND(Mehrheitsrechner_Art_238_II!B28="x",Mehrheitsrechner_Art_238_II!C28="J"),1,0)</f>
        <v>1</v>
      </c>
      <c r="T24" s="261">
        <f>IF(AND(Mehrheitsrechner_Art_238_II!B28="x",Mehrheitsrechner_Art_238_II!C28="N"),1,0)</f>
        <v>0</v>
      </c>
      <c r="U24" s="261">
        <f>IF(AND(Mehrheitsrechner_Art_238_II!C28="e",Mehrheitsrechner_Art_238_II!B28="x"),1,0)</f>
        <v>0</v>
      </c>
      <c r="V24" s="261">
        <f>IF(Mehrheitsrechner_ab_11_2014!L33&lt;28, IF(AND(SUM(V25:V32)&lt;1,'Technische Tabelle'!S24&lt;1),Mehrheitsrechner_ab_11_2014!P24,0),0)</f>
        <v>0</v>
      </c>
      <c r="W24" s="263">
        <f>IF(AND(Mehrheitsrechner_Art_238_II!C28="n",Mehrheitsrechner_Art_238_II!B28="x"),1*Mehrheitsrechner_Art_238_II!D28,0)</f>
        <v>0</v>
      </c>
    </row>
    <row r="25" spans="1:23" x14ac:dyDescent="0.2">
      <c r="A25" s="6" t="s">
        <v>25</v>
      </c>
      <c r="B25" s="5">
        <f>IF(Mehrheitsrechner_ab_11_2014!C25="n",1,0)</f>
        <v>0</v>
      </c>
      <c r="C25" s="5">
        <f>IF(Mehrheitsrechner_ab_11_2014!C25="n",1*Mehrheitsrechner_ab_11_2014!D25,0)</f>
        <v>0</v>
      </c>
      <c r="D25" s="5">
        <f>IF(Mehrheitsrechner_Art_238_II!B29="n",1,0)</f>
        <v>0</v>
      </c>
      <c r="E25" s="5">
        <f>IF(Mehrheitsrechner_Art_238_II!B29="n",1*Mehrheitsrechner_Art_238_II!C29,0)</f>
        <v>0</v>
      </c>
      <c r="F25" s="5">
        <f>IF(Mehrheitsrechner_Art_3_II_Prot!C25="n",1,0)</f>
        <v>0</v>
      </c>
      <c r="G25" s="5">
        <f>IF(Mehrheitsrechner_Art_3_II_Prot!C25="n",1*Mehrheitsrechner_Art_3_II_Prot!F25,0)</f>
        <v>0</v>
      </c>
      <c r="I25" s="260">
        <f>IF(AND(Mehrheitsrechner_ab_11_2014!C25="J",Mehrheitsrechner_ab_11_2014!B25="x"),1,0)</f>
        <v>1</v>
      </c>
      <c r="J25" s="261">
        <f>IF(AND(Mehrheitsrechner_ab_11_2014!C25="N",Mehrheitsrechner_ab_11_2014!B25="x"),1,0)</f>
        <v>0</v>
      </c>
      <c r="K25" s="261">
        <f>IF(AND(Mehrheitsrechner_ab_11_2014!C25="e",Mehrheitsrechner_ab_11_2014!B25="x"),1,0)</f>
        <v>0</v>
      </c>
      <c r="L25" s="261">
        <f>IF(Mehrheitsrechner_ab_11_2014!B33&lt;28, IF(AND(SUM(L26:L32)&lt;1,'Technische Tabelle'!I25&lt;1),Mehrheitsrechner_ab_11_2014!F25,0),0)</f>
        <v>0</v>
      </c>
      <c r="M25" s="263">
        <f>IF(AND(Mehrheitsrechner_ab_11_2014!C25="n",Mehrheitsrechner_ab_11_2014!B25="x"),1*Mehrheitsrechner_ab_11_2014!D25,0)</f>
        <v>0</v>
      </c>
      <c r="N25" s="260">
        <f>IF(AND(Mehrheitsrechner_Art_3_II_Prot!B25="x",Mehrheitsrechner_Art_3_II_Prot!C25="J"),1,0)</f>
        <v>1</v>
      </c>
      <c r="O25" s="261">
        <f>IF(AND(Mehrheitsrechner_Art_3_II_Prot!B25="x",Mehrheitsrechner_Art_3_II_Prot!C25="N"),1,0)</f>
        <v>0</v>
      </c>
      <c r="P25" s="261">
        <f>IF(AND(Mehrheitsrechner_ab_11_2014!H25="e",Mehrheitsrechner_ab_11_2014!G25="x"),1,0)</f>
        <v>0</v>
      </c>
      <c r="Q25" s="261">
        <f>IF(Mehrheitsrechner_ab_11_2014!G33&lt;28, IF(AND(SUM(Q26:Q32)&lt;1,'Technische Tabelle'!N25&lt;1),Mehrheitsrechner_ab_11_2014!K25,0),0)</f>
        <v>0</v>
      </c>
      <c r="R25" s="263">
        <f>IF(AND(Mehrheitsrechner_Art_3_II_Prot!C25="n",Mehrheitsrechner_Art_3_II_Prot!B25="x"),1*Mehrheitsrechner_Art_3_II_Prot!F25,0)</f>
        <v>0</v>
      </c>
      <c r="S25" s="260">
        <f>IF(AND(Mehrheitsrechner_Art_238_II!B29="x",Mehrheitsrechner_Art_238_II!C29="J"),1,0)</f>
        <v>1</v>
      </c>
      <c r="T25" s="261">
        <f>IF(AND(Mehrheitsrechner_Art_238_II!B29="x",Mehrheitsrechner_Art_238_II!C29="N"),1,0)</f>
        <v>0</v>
      </c>
      <c r="U25" s="261">
        <f>IF(AND(Mehrheitsrechner_Art_238_II!C29="e",Mehrheitsrechner_Art_238_II!B29="x"),1,0)</f>
        <v>0</v>
      </c>
      <c r="V25" s="261">
        <f>IF(Mehrheitsrechner_ab_11_2014!L33&lt;28, IF(AND(SUM(V26:V32)&lt;1,'Technische Tabelle'!S25&lt;1),Mehrheitsrechner_ab_11_2014!P25,0),0)</f>
        <v>0</v>
      </c>
      <c r="W25" s="263">
        <f>IF(AND(Mehrheitsrechner_Art_238_II!C29="n",Mehrheitsrechner_Art_238_II!B29="x"),1*Mehrheitsrechner_Art_238_II!D29,0)</f>
        <v>0</v>
      </c>
    </row>
    <row r="26" spans="1:23" x14ac:dyDescent="0.2">
      <c r="A26" s="8" t="s">
        <v>26</v>
      </c>
      <c r="B26" s="5">
        <f>IF(Mehrheitsrechner_ab_11_2014!C26="n",1,0)</f>
        <v>0</v>
      </c>
      <c r="C26" s="5">
        <f>IF(Mehrheitsrechner_ab_11_2014!C26="n",1*Mehrheitsrechner_ab_11_2014!D26,0)</f>
        <v>0</v>
      </c>
      <c r="D26" s="5">
        <f>IF(Mehrheitsrechner_Art_238_II!B30="n",1,0)</f>
        <v>0</v>
      </c>
      <c r="E26" s="5">
        <f>IF(Mehrheitsrechner_Art_238_II!B30="n",1*Mehrheitsrechner_Art_238_II!C30,0)</f>
        <v>0</v>
      </c>
      <c r="F26" s="5">
        <f>IF(Mehrheitsrechner_Art_3_II_Prot!C26="n",1,0)</f>
        <v>0</v>
      </c>
      <c r="G26" s="5">
        <f>IF(Mehrheitsrechner_Art_3_II_Prot!C26="n",1*Mehrheitsrechner_Art_3_II_Prot!F26,0)</f>
        <v>0</v>
      </c>
      <c r="I26" s="260">
        <f>IF(AND(Mehrheitsrechner_ab_11_2014!C26="J",Mehrheitsrechner_ab_11_2014!B26="x"),1,0)</f>
        <v>1</v>
      </c>
      <c r="J26" s="261">
        <f>IF(AND(Mehrheitsrechner_ab_11_2014!C26="N",Mehrheitsrechner_ab_11_2014!B26="x"),1,0)</f>
        <v>0</v>
      </c>
      <c r="K26" s="261">
        <f>IF(AND(Mehrheitsrechner_ab_11_2014!C26="e",Mehrheitsrechner_ab_11_2014!B26="x"),1,0)</f>
        <v>0</v>
      </c>
      <c r="L26" s="261">
        <f>IF(Mehrheitsrechner_ab_11_2014!B33&lt;28, IF(AND(SUM(L27:L32)&lt;1,'Technische Tabelle'!I26&lt;1),Mehrheitsrechner_ab_11_2014!F26,0),0)</f>
        <v>0</v>
      </c>
      <c r="M26" s="263">
        <f>IF(AND(Mehrheitsrechner_ab_11_2014!C26="n",Mehrheitsrechner_ab_11_2014!B26="x"),1*Mehrheitsrechner_ab_11_2014!D26,0)</f>
        <v>0</v>
      </c>
      <c r="N26" s="260">
        <f>IF(AND(Mehrheitsrechner_Art_3_II_Prot!B26="x",Mehrheitsrechner_Art_3_II_Prot!C26="J"),1,0)</f>
        <v>1</v>
      </c>
      <c r="O26" s="261">
        <f>IF(AND(Mehrheitsrechner_Art_3_II_Prot!B26="x",Mehrheitsrechner_Art_3_II_Prot!C26="N"),1,0)</f>
        <v>0</v>
      </c>
      <c r="P26" s="261">
        <f>IF(AND(Mehrheitsrechner_ab_11_2014!H26="e",Mehrheitsrechner_ab_11_2014!G26="x"),1,0)</f>
        <v>0</v>
      </c>
      <c r="Q26" s="261">
        <f>IF(Mehrheitsrechner_ab_11_2014!G33&lt;28, IF(AND(SUM(Q27:Q32)&lt;1,'Technische Tabelle'!N26&lt;1),Mehrheitsrechner_ab_11_2014!K26,0),0)</f>
        <v>0</v>
      </c>
      <c r="R26" s="263">
        <f>IF(AND(Mehrheitsrechner_Art_3_II_Prot!C26="n",Mehrheitsrechner_Art_3_II_Prot!B26="x"),1*Mehrheitsrechner_Art_3_II_Prot!F26,0)</f>
        <v>0</v>
      </c>
      <c r="S26" s="260">
        <f>IF(AND(Mehrheitsrechner_Art_238_II!B30="x",Mehrheitsrechner_Art_238_II!C30="J"),1,0)</f>
        <v>1</v>
      </c>
      <c r="T26" s="261">
        <f>IF(AND(Mehrheitsrechner_Art_238_II!B30="x",Mehrheitsrechner_Art_238_II!C30="N"),1,0)</f>
        <v>0</v>
      </c>
      <c r="U26" s="261">
        <f>IF(AND(Mehrheitsrechner_Art_238_II!C30="e",Mehrheitsrechner_Art_238_II!B30="x"),1,0)</f>
        <v>0</v>
      </c>
      <c r="V26" s="261">
        <f>IF(Mehrheitsrechner_ab_11_2014!L33&lt;28, IF(AND(SUM(V27:V32)&lt;1,'Technische Tabelle'!S26&lt;1),Mehrheitsrechner_ab_11_2014!P26,0),0)</f>
        <v>0</v>
      </c>
      <c r="W26" s="263">
        <f>IF(AND(Mehrheitsrechner_Art_238_II!C30="n",Mehrheitsrechner_Art_238_II!B30="x"),1*Mehrheitsrechner_Art_238_II!D30,0)</f>
        <v>0</v>
      </c>
    </row>
    <row r="27" spans="1:23" x14ac:dyDescent="0.2">
      <c r="A27" s="6" t="s">
        <v>27</v>
      </c>
      <c r="B27" s="5">
        <f>IF(Mehrheitsrechner_ab_11_2014!C27="n",1,0)</f>
        <v>0</v>
      </c>
      <c r="C27" s="5">
        <f>IF(Mehrheitsrechner_ab_11_2014!C27="n",1*Mehrheitsrechner_ab_11_2014!D27,0)</f>
        <v>0</v>
      </c>
      <c r="D27" s="5">
        <f>IF(Mehrheitsrechner_Art_238_II!B31="n",1,0)</f>
        <v>0</v>
      </c>
      <c r="E27" s="5">
        <f>IF(Mehrheitsrechner_Art_238_II!B31="n",1*Mehrheitsrechner_Art_238_II!C31,0)</f>
        <v>0</v>
      </c>
      <c r="F27" s="5">
        <f>IF(Mehrheitsrechner_Art_3_II_Prot!C27="n",1,0)</f>
        <v>0</v>
      </c>
      <c r="G27" s="5">
        <f>IF(Mehrheitsrechner_Art_3_II_Prot!C27="n",1*Mehrheitsrechner_Art_3_II_Prot!F27,0)</f>
        <v>0</v>
      </c>
      <c r="I27" s="260">
        <f>IF(AND(Mehrheitsrechner_ab_11_2014!C27="J",Mehrheitsrechner_ab_11_2014!B27="x"),1,0)</f>
        <v>1</v>
      </c>
      <c r="J27" s="261">
        <f>IF(AND(Mehrheitsrechner_ab_11_2014!C27="N",Mehrheitsrechner_ab_11_2014!B27="x"),1,0)</f>
        <v>0</v>
      </c>
      <c r="K27" s="261">
        <f>IF(AND(Mehrheitsrechner_ab_11_2014!C27="e",Mehrheitsrechner_ab_11_2014!B27="x"),1,0)</f>
        <v>0</v>
      </c>
      <c r="L27" s="261">
        <f>IF(Mehrheitsrechner_ab_11_2014!B33&lt;28, IF(AND(SUM(L28:L32)&lt;1,'Technische Tabelle'!I27&lt;1),Mehrheitsrechner_ab_11_2014!F27,0),0)</f>
        <v>0</v>
      </c>
      <c r="M27" s="263">
        <f>IF(AND(Mehrheitsrechner_ab_11_2014!C27="n",Mehrheitsrechner_ab_11_2014!B27="x"),1*Mehrheitsrechner_ab_11_2014!D27,0)</f>
        <v>0</v>
      </c>
      <c r="N27" s="260">
        <f>IF(AND(Mehrheitsrechner_Art_3_II_Prot!B27="x",Mehrheitsrechner_Art_3_II_Prot!C27="J"),1,0)</f>
        <v>1</v>
      </c>
      <c r="O27" s="261">
        <f>IF(AND(Mehrheitsrechner_Art_3_II_Prot!B27="x",Mehrheitsrechner_Art_3_II_Prot!C27="N"),1,0)</f>
        <v>0</v>
      </c>
      <c r="P27" s="261">
        <f>IF(AND(Mehrheitsrechner_ab_11_2014!H27="e",Mehrheitsrechner_ab_11_2014!G27="x"),1,0)</f>
        <v>0</v>
      </c>
      <c r="Q27" s="261">
        <f>IF(Mehrheitsrechner_ab_11_2014!G33&lt;28, IF(AND(SUM(Q28:Q32)&lt;1,'Technische Tabelle'!N27&lt;1),Mehrheitsrechner_ab_11_2014!K27,0),0)</f>
        <v>0</v>
      </c>
      <c r="R27" s="263">
        <f>IF(AND(Mehrheitsrechner_Art_3_II_Prot!C27="n",Mehrheitsrechner_Art_3_II_Prot!B27="x"),1*Mehrheitsrechner_Art_3_II_Prot!F27,0)</f>
        <v>0</v>
      </c>
      <c r="S27" s="260">
        <f>IF(AND(Mehrheitsrechner_Art_238_II!B31="x",Mehrheitsrechner_Art_238_II!C31="J"),1,0)</f>
        <v>1</v>
      </c>
      <c r="T27" s="261">
        <f>IF(AND(Mehrheitsrechner_Art_238_II!B31="x",Mehrheitsrechner_Art_238_II!C31="N"),1,0)</f>
        <v>0</v>
      </c>
      <c r="U27" s="261">
        <f>IF(AND(Mehrheitsrechner_Art_238_II!C31="e",Mehrheitsrechner_Art_238_II!B31="x"),1,0)</f>
        <v>0</v>
      </c>
      <c r="V27" s="261">
        <f>IF(Mehrheitsrechner_ab_11_2014!L33&lt;28, IF(AND(SUM(V28:V32)&lt;1,'Technische Tabelle'!S27&lt;1),Mehrheitsrechner_ab_11_2014!P27,0),0)</f>
        <v>0</v>
      </c>
      <c r="W27" s="263">
        <f>IF(AND(Mehrheitsrechner_Art_238_II!C31="n",Mehrheitsrechner_Art_238_II!B31="x"),1*Mehrheitsrechner_Art_238_II!D31,0)</f>
        <v>0</v>
      </c>
    </row>
    <row r="28" spans="1:23" x14ac:dyDescent="0.2">
      <c r="A28" s="8" t="s">
        <v>28</v>
      </c>
      <c r="B28" s="5">
        <f>IF(Mehrheitsrechner_ab_11_2014!C28="n",1,0)</f>
        <v>0</v>
      </c>
      <c r="C28" s="5">
        <f>IF(Mehrheitsrechner_ab_11_2014!C28="n",1*Mehrheitsrechner_ab_11_2014!D28,0)</f>
        <v>0</v>
      </c>
      <c r="D28" s="5">
        <f>IF(Mehrheitsrechner_Art_238_II!B32="n",1,0)</f>
        <v>0</v>
      </c>
      <c r="E28" s="5">
        <f>IF(Mehrheitsrechner_Art_238_II!B32="n",1*Mehrheitsrechner_Art_238_II!C32,0)</f>
        <v>0</v>
      </c>
      <c r="F28" s="5">
        <f>IF(Mehrheitsrechner_Art_3_II_Prot!C28="n",1,0)</f>
        <v>0</v>
      </c>
      <c r="G28" s="5">
        <f>IF(Mehrheitsrechner_Art_3_II_Prot!C28="n",1*Mehrheitsrechner_Art_3_II_Prot!F28,0)</f>
        <v>0</v>
      </c>
      <c r="I28" s="260">
        <f>IF(AND(Mehrheitsrechner_ab_11_2014!C28="J",Mehrheitsrechner_ab_11_2014!B28="x"),1,0)</f>
        <v>1</v>
      </c>
      <c r="J28" s="261">
        <f>IF(AND(Mehrheitsrechner_ab_11_2014!C28="N",Mehrheitsrechner_ab_11_2014!B28="x"),1,0)</f>
        <v>0</v>
      </c>
      <c r="K28" s="261">
        <f>IF(AND(Mehrheitsrechner_ab_11_2014!C28="e",Mehrheitsrechner_ab_11_2014!B28="x"),1,0)</f>
        <v>0</v>
      </c>
      <c r="L28" s="261">
        <f>IF(Mehrheitsrechner_ab_11_2014!B33&lt;28, IF(AND(SUM(L29:L32)&lt;1,'Technische Tabelle'!I28&lt;1),Mehrheitsrechner_ab_11_2014!F28,0),0)</f>
        <v>0</v>
      </c>
      <c r="M28" s="263">
        <f>IF(AND(Mehrheitsrechner_ab_11_2014!C28="n",Mehrheitsrechner_ab_11_2014!B28="x"),1*Mehrheitsrechner_ab_11_2014!D28,0)</f>
        <v>0</v>
      </c>
      <c r="N28" s="260">
        <f>IF(AND(Mehrheitsrechner_Art_3_II_Prot!B28="x",Mehrheitsrechner_Art_3_II_Prot!C28="J"),1,0)</f>
        <v>1</v>
      </c>
      <c r="O28" s="261">
        <f>IF(AND(Mehrheitsrechner_Art_3_II_Prot!B28="x",Mehrheitsrechner_Art_3_II_Prot!C28="N"),1,0)</f>
        <v>0</v>
      </c>
      <c r="P28" s="261">
        <f>IF(AND(Mehrheitsrechner_ab_11_2014!H28="e",Mehrheitsrechner_ab_11_2014!G28="x"),1,0)</f>
        <v>0</v>
      </c>
      <c r="Q28" s="261">
        <f>IF(Mehrheitsrechner_ab_11_2014!G33&lt;28, IF(AND(SUM(Q29:Q32)&lt;1,'Technische Tabelle'!N28&lt;1),Mehrheitsrechner_ab_11_2014!K28,0),0)</f>
        <v>0</v>
      </c>
      <c r="R28" s="263">
        <f>IF(AND(Mehrheitsrechner_Art_3_II_Prot!C28="n",Mehrheitsrechner_Art_3_II_Prot!B28="x"),1*Mehrheitsrechner_Art_3_II_Prot!F28,0)</f>
        <v>0</v>
      </c>
      <c r="S28" s="260">
        <f>IF(AND(Mehrheitsrechner_Art_238_II!B32="x",Mehrheitsrechner_Art_238_II!C32="J"),1,0)</f>
        <v>1</v>
      </c>
      <c r="T28" s="261">
        <f>IF(AND(Mehrheitsrechner_Art_238_II!B32="x",Mehrheitsrechner_Art_238_II!C32="N"),1,0)</f>
        <v>0</v>
      </c>
      <c r="U28" s="261">
        <f>IF(AND(Mehrheitsrechner_Art_238_II!C32="e",Mehrheitsrechner_Art_238_II!B32="x"),1,0)</f>
        <v>0</v>
      </c>
      <c r="V28" s="261">
        <f>IF(Mehrheitsrechner_ab_11_2014!L33&lt;28, IF(AND(SUM(V29:V32)&lt;1,'Technische Tabelle'!S28&lt;1),Mehrheitsrechner_ab_11_2014!P28,0),0)</f>
        <v>0</v>
      </c>
      <c r="W28" s="263">
        <f>IF(AND(Mehrheitsrechner_Art_238_II!C32="n",Mehrheitsrechner_Art_238_II!B32="x"),1*Mehrheitsrechner_Art_238_II!D32,0)</f>
        <v>0</v>
      </c>
    </row>
    <row r="29" spans="1:23" x14ac:dyDescent="0.2">
      <c r="A29" s="6" t="s">
        <v>29</v>
      </c>
      <c r="B29" s="5">
        <f>IF(Mehrheitsrechner_ab_11_2014!C29="n",1,0)</f>
        <v>0</v>
      </c>
      <c r="C29" s="5">
        <f>IF(Mehrheitsrechner_ab_11_2014!C29="n",1*Mehrheitsrechner_ab_11_2014!D29,0)</f>
        <v>0</v>
      </c>
      <c r="D29" s="5">
        <f>IF(Mehrheitsrechner_Art_238_II!B33="n",1,0)</f>
        <v>0</v>
      </c>
      <c r="E29" s="5">
        <f>IF(Mehrheitsrechner_Art_238_II!B33="n",1*Mehrheitsrechner_Art_238_II!C33,0)</f>
        <v>0</v>
      </c>
      <c r="F29" s="5">
        <f>IF(Mehrheitsrechner_Art_3_II_Prot!C29="n",1,0)</f>
        <v>0</v>
      </c>
      <c r="G29" s="5">
        <f>IF(Mehrheitsrechner_Art_3_II_Prot!C29="n",1*Mehrheitsrechner_Art_3_II_Prot!F29,0)</f>
        <v>0</v>
      </c>
      <c r="I29" s="260">
        <f>IF(AND(Mehrheitsrechner_ab_11_2014!C29="J",Mehrheitsrechner_ab_11_2014!B29="x"),1,0)</f>
        <v>1</v>
      </c>
      <c r="J29" s="261">
        <f>IF(AND(Mehrheitsrechner_ab_11_2014!C29="N",Mehrheitsrechner_ab_11_2014!B29="x"),1,0)</f>
        <v>0</v>
      </c>
      <c r="K29" s="261">
        <f>IF(AND(Mehrheitsrechner_ab_11_2014!C29="e",Mehrheitsrechner_ab_11_2014!B29="x"),1,0)</f>
        <v>0</v>
      </c>
      <c r="L29" s="261">
        <f>IF(Mehrheitsrechner_ab_11_2014!B33&lt;28, IF(AND(SUM(L30:L32)&lt;1,'Technische Tabelle'!I29&lt;1),Mehrheitsrechner_ab_11_2014!F29,0),0)</f>
        <v>0</v>
      </c>
      <c r="M29" s="263">
        <f>IF(AND(Mehrheitsrechner_ab_11_2014!C29="n",Mehrheitsrechner_ab_11_2014!B29="x"),1*Mehrheitsrechner_ab_11_2014!D29,0)</f>
        <v>0</v>
      </c>
      <c r="N29" s="260">
        <f>IF(AND(Mehrheitsrechner_Art_3_II_Prot!B29="x",Mehrheitsrechner_Art_3_II_Prot!C29="J"),1,0)</f>
        <v>1</v>
      </c>
      <c r="O29" s="261">
        <f>IF(AND(Mehrheitsrechner_Art_3_II_Prot!B29="x",Mehrheitsrechner_Art_3_II_Prot!C29="N"),1,0)</f>
        <v>0</v>
      </c>
      <c r="P29" s="261">
        <f>IF(AND(Mehrheitsrechner_ab_11_2014!H29="e",Mehrheitsrechner_ab_11_2014!G29="x"),1,0)</f>
        <v>0</v>
      </c>
      <c r="Q29" s="261">
        <f>IF(Mehrheitsrechner_ab_11_2014!G33&lt;28, IF(AND(SUM(Q30:Q32)&lt;1,'Technische Tabelle'!N29&lt;1),Mehrheitsrechner_ab_11_2014!K29,0),0)</f>
        <v>0</v>
      </c>
      <c r="R29" s="263">
        <f>IF(AND(Mehrheitsrechner_Art_3_II_Prot!C29="n",Mehrheitsrechner_Art_3_II_Prot!B29="x"),1*Mehrheitsrechner_Art_3_II_Prot!F29,0)</f>
        <v>0</v>
      </c>
      <c r="S29" s="260">
        <f>IF(AND(Mehrheitsrechner_Art_238_II!B33="x",Mehrheitsrechner_Art_238_II!C33="J"),1,0)</f>
        <v>1</v>
      </c>
      <c r="T29" s="261">
        <f>IF(AND(Mehrheitsrechner_Art_238_II!B33="x",Mehrheitsrechner_Art_238_II!C33="N"),1,0)</f>
        <v>0</v>
      </c>
      <c r="U29" s="261">
        <f>IF(AND(Mehrheitsrechner_Art_238_II!C33="e",Mehrheitsrechner_Art_238_II!B33="x"),1,0)</f>
        <v>0</v>
      </c>
      <c r="V29" s="261">
        <f>IF(Mehrheitsrechner_ab_11_2014!L33&lt;28, IF(AND(SUM(V30:V32)&lt;1,'Technische Tabelle'!S29&lt;1),Mehrheitsrechner_ab_11_2014!P29,0),0)</f>
        <v>0</v>
      </c>
      <c r="W29" s="263">
        <f>IF(AND(Mehrheitsrechner_Art_238_II!C33="n",Mehrheitsrechner_Art_238_II!B33="x"),1*Mehrheitsrechner_Art_238_II!D33,0)</f>
        <v>0</v>
      </c>
    </row>
    <row r="30" spans="1:23" x14ac:dyDescent="0.2">
      <c r="A30" s="8" t="s">
        <v>30</v>
      </c>
      <c r="B30" s="5">
        <f>IF(Mehrheitsrechner_ab_11_2014!C30="n",1,0)</f>
        <v>0</v>
      </c>
      <c r="C30" s="5">
        <f>IF(Mehrheitsrechner_ab_11_2014!C30="n",1*Mehrheitsrechner_ab_11_2014!D30,0)</f>
        <v>0</v>
      </c>
      <c r="D30" s="5">
        <f>IF(Mehrheitsrechner_Art_238_II!B34="n",1,0)</f>
        <v>0</v>
      </c>
      <c r="E30" s="5">
        <f>IF(Mehrheitsrechner_Art_238_II!B34="n",1*Mehrheitsrechner_Art_238_II!C34,0)</f>
        <v>0</v>
      </c>
      <c r="F30" s="5">
        <f>IF(Mehrheitsrechner_Art_3_II_Prot!C30="n",1,0)</f>
        <v>0</v>
      </c>
      <c r="G30" s="5">
        <f>IF(Mehrheitsrechner_Art_3_II_Prot!C30="n",1*Mehrheitsrechner_Art_3_II_Prot!F30,0)</f>
        <v>0</v>
      </c>
      <c r="I30" s="260">
        <f>IF(AND(Mehrheitsrechner_ab_11_2014!C30="J",Mehrheitsrechner_ab_11_2014!B30="x"),1,0)</f>
        <v>1</v>
      </c>
      <c r="J30" s="261">
        <f>IF(AND(Mehrheitsrechner_ab_11_2014!C30="N",Mehrheitsrechner_ab_11_2014!B30="x"),1,0)</f>
        <v>0</v>
      </c>
      <c r="K30" s="261">
        <f>IF(AND(Mehrheitsrechner_ab_11_2014!C30="e",Mehrheitsrechner_ab_11_2014!B30="x"),1,0)</f>
        <v>0</v>
      </c>
      <c r="L30" s="261">
        <f>IF(Mehrheitsrechner_ab_11_2014!B33&lt;28, IF(AND(SUM(L31:L32)&lt;1,'Technische Tabelle'!I30&lt;1),Mehrheitsrechner_ab_11_2014!F30,0),0)</f>
        <v>0</v>
      </c>
      <c r="M30" s="263">
        <f>IF(AND(Mehrheitsrechner_ab_11_2014!C30="n",Mehrheitsrechner_ab_11_2014!B30="x"),1*Mehrheitsrechner_ab_11_2014!D30,0)</f>
        <v>0</v>
      </c>
      <c r="N30" s="260">
        <f>IF(AND(Mehrheitsrechner_Art_3_II_Prot!B30="x",Mehrheitsrechner_Art_3_II_Prot!C30="J"),1,0)</f>
        <v>1</v>
      </c>
      <c r="O30" s="261">
        <f>IF(AND(Mehrheitsrechner_Art_3_II_Prot!B30="x",Mehrheitsrechner_Art_3_II_Prot!C30="N"),1,0)</f>
        <v>0</v>
      </c>
      <c r="P30" s="261">
        <f>IF(AND(Mehrheitsrechner_ab_11_2014!H30="e",Mehrheitsrechner_ab_11_2014!G30="x"),1,0)</f>
        <v>0</v>
      </c>
      <c r="Q30" s="261">
        <f>IF(Mehrheitsrechner_ab_11_2014!G33&lt;28, IF(AND(SUM(Q31:Q32)&lt;1,'Technische Tabelle'!N30&lt;1),Mehrheitsrechner_ab_11_2014!K30,0),0)</f>
        <v>0</v>
      </c>
      <c r="R30" s="263">
        <f>IF(AND(Mehrheitsrechner_Art_3_II_Prot!C30="n",Mehrheitsrechner_Art_3_II_Prot!B30="x"),1*Mehrheitsrechner_Art_3_II_Prot!F30,0)</f>
        <v>0</v>
      </c>
      <c r="S30" s="260">
        <f>IF(AND(Mehrheitsrechner_Art_238_II!B34="x",Mehrheitsrechner_Art_238_II!C34="J"),1,0)</f>
        <v>1</v>
      </c>
      <c r="T30" s="261">
        <f>IF(AND(Mehrheitsrechner_Art_238_II!B34="x",Mehrheitsrechner_Art_238_II!C34="N"),1,0)</f>
        <v>0</v>
      </c>
      <c r="U30" s="261">
        <f>IF(AND(Mehrheitsrechner_Art_238_II!C34="e",Mehrheitsrechner_Art_238_II!B34="x"),1,0)</f>
        <v>0</v>
      </c>
      <c r="V30" s="261">
        <f>IF(Mehrheitsrechner_ab_11_2014!L33&lt;28, IF(AND(SUM(V31:V32)&lt;1,'Technische Tabelle'!S30&lt;1),Mehrheitsrechner_ab_11_2014!P30,0),0)</f>
        <v>0</v>
      </c>
      <c r="W30" s="263">
        <f>IF(AND(Mehrheitsrechner_Art_238_II!C34="n",Mehrheitsrechner_Art_238_II!B34="x"),1*Mehrheitsrechner_Art_238_II!D34,0)</f>
        <v>0</v>
      </c>
    </row>
    <row r="31" spans="1:23" x14ac:dyDescent="0.2">
      <c r="A31" s="6" t="s">
        <v>31</v>
      </c>
      <c r="B31" s="5">
        <f>IF(Mehrheitsrechner_ab_11_2014!C31="n",1,0)</f>
        <v>0</v>
      </c>
      <c r="C31" s="5">
        <f>IF(Mehrheitsrechner_ab_11_2014!C31="n",1*Mehrheitsrechner_ab_11_2014!D31,0)</f>
        <v>0</v>
      </c>
      <c r="D31" s="5">
        <f>IF(Mehrheitsrechner_Art_238_II!B35="n",1,0)</f>
        <v>0</v>
      </c>
      <c r="E31" s="5">
        <f>IF(Mehrheitsrechner_Art_238_II!B35="n",1*Mehrheitsrechner_Art_238_II!C35,0)</f>
        <v>0</v>
      </c>
      <c r="F31" s="5">
        <f>IF(Mehrheitsrechner_Art_3_II_Prot!C31="n",1,0)</f>
        <v>0</v>
      </c>
      <c r="G31" s="5">
        <f>IF(Mehrheitsrechner_Art_3_II_Prot!C31="n",1*Mehrheitsrechner_Art_3_II_Prot!F31,0)</f>
        <v>0</v>
      </c>
      <c r="I31" s="260">
        <f>IF(AND(Mehrheitsrechner_ab_11_2014!C31="J",Mehrheitsrechner_ab_11_2014!B31="x"),1,0)</f>
        <v>1</v>
      </c>
      <c r="J31" s="261">
        <f>IF(AND(Mehrheitsrechner_ab_11_2014!C31="N",Mehrheitsrechner_ab_11_2014!B31="x"),1,0)</f>
        <v>0</v>
      </c>
      <c r="K31" s="261">
        <f>IF(AND(Mehrheitsrechner_ab_11_2014!C31="e",Mehrheitsrechner_ab_11_2014!B31="x"),1,0)</f>
        <v>0</v>
      </c>
      <c r="L31" s="261">
        <f>IF(Mehrheitsrechner_ab_11_2014!B33&lt;28, IF(AND(SUM(L32&lt;1),'Technische Tabelle'!I31&lt;1),Mehrheitsrechner_ab_11_2014!F31,0),0)</f>
        <v>0</v>
      </c>
      <c r="M31" s="263">
        <f>IF(AND(Mehrheitsrechner_ab_11_2014!C31="n",Mehrheitsrechner_ab_11_2014!B31="x"),1*Mehrheitsrechner_ab_11_2014!D31,0)</f>
        <v>0</v>
      </c>
      <c r="N31" s="260">
        <f>IF(AND(Mehrheitsrechner_Art_3_II_Prot!B31="x",Mehrheitsrechner_Art_3_II_Prot!C31="J"),1,0)</f>
        <v>1</v>
      </c>
      <c r="O31" s="261">
        <f>IF(AND(Mehrheitsrechner_Art_3_II_Prot!B31="x",Mehrheitsrechner_Art_3_II_Prot!C31="N"),1,0)</f>
        <v>0</v>
      </c>
      <c r="P31" s="261">
        <f>IF(AND(Mehrheitsrechner_ab_11_2014!H31="e",Mehrheitsrechner_ab_11_2014!G31="x"),1,0)</f>
        <v>0</v>
      </c>
      <c r="Q31" s="261">
        <f>IF(Mehrheitsrechner_ab_11_2014!G33&lt;28, IF(AND(SUM(Q32&lt;1),'Technische Tabelle'!N31&lt;1),Mehrheitsrechner_ab_11_2014!K31,0),0)</f>
        <v>0</v>
      </c>
      <c r="R31" s="263">
        <f>IF(AND(Mehrheitsrechner_Art_3_II_Prot!C31="n",Mehrheitsrechner_Art_3_II_Prot!B31="x"),1*Mehrheitsrechner_Art_3_II_Prot!F31,0)</f>
        <v>0</v>
      </c>
      <c r="S31" s="260">
        <f>IF(AND(Mehrheitsrechner_Art_238_II!B35="x",Mehrheitsrechner_Art_238_II!C35="J"),1,0)</f>
        <v>1</v>
      </c>
      <c r="T31" s="261">
        <f>IF(AND(Mehrheitsrechner_Art_238_II!B35="x",Mehrheitsrechner_Art_238_II!C35="N"),1,0)</f>
        <v>0</v>
      </c>
      <c r="U31" s="261">
        <f>IF(AND(Mehrheitsrechner_Art_238_II!C35="e",Mehrheitsrechner_Art_238_II!B35="x"),1,0)</f>
        <v>0</v>
      </c>
      <c r="V31" s="261">
        <f>IF(Mehrheitsrechner_ab_11_2014!L33&lt;28, IF(AND(SUM(V32&lt;1),'Technische Tabelle'!S31&lt;1),Mehrheitsrechner_ab_11_2014!P31,0),0)</f>
        <v>0</v>
      </c>
      <c r="W31" s="263">
        <f>IF(AND(Mehrheitsrechner_Art_238_II!C35="n",Mehrheitsrechner_Art_238_II!B35="x"),1*Mehrheitsrechner_Art_238_II!D35,0)</f>
        <v>0</v>
      </c>
    </row>
    <row r="32" spans="1:23" x14ac:dyDescent="0.2">
      <c r="A32" s="8" t="s">
        <v>32</v>
      </c>
      <c r="B32" s="5">
        <f>IF(Mehrheitsrechner_ab_11_2014!C32="n",1,0)</f>
        <v>0</v>
      </c>
      <c r="C32" s="5">
        <f>IF(Mehrheitsrechner_ab_11_2014!C32="n",1*Mehrheitsrechner_ab_11_2014!D32,0)</f>
        <v>0</v>
      </c>
      <c r="D32" s="5">
        <f>IF(Mehrheitsrechner_Art_238_II!B36="n",1,0)</f>
        <v>0</v>
      </c>
      <c r="E32" s="5">
        <f>IF(Mehrheitsrechner_Art_238_II!B36="n",1*Mehrheitsrechner_Art_238_II!C36,0)</f>
        <v>0</v>
      </c>
      <c r="F32" s="5">
        <f>IF(Mehrheitsrechner_Art_3_II_Prot!C32="n",1,0)</f>
        <v>0</v>
      </c>
      <c r="G32" s="5">
        <f>IF(Mehrheitsrechner_Art_3_II_Prot!C32="n",1*Mehrheitsrechner_Art_3_II_Prot!F32,0)</f>
        <v>0</v>
      </c>
      <c r="I32" s="260">
        <f>IF(AND(Mehrheitsrechner_ab_11_2014!C32="J",Mehrheitsrechner_ab_11_2014!B32="x"),1,0)</f>
        <v>1</v>
      </c>
      <c r="J32" s="261">
        <f>IF(AND(Mehrheitsrechner_ab_11_2014!C32="N",Mehrheitsrechner_ab_11_2014!B32="x"),1,0)</f>
        <v>0</v>
      </c>
      <c r="K32" s="261">
        <f>IF(AND(Mehrheitsrechner_ab_11_2014!C32="e",Mehrheitsrechner_ab_11_2014!B32="x"),1,0)</f>
        <v>0</v>
      </c>
      <c r="L32" s="261">
        <f>IF(Mehrheitsrechner_ab_11_2014!B33&lt;28, IF('Technische Tabelle'!I32&lt;1,Mehrheitsrechner_ab_11_2014!F32,0), 0)</f>
        <v>0</v>
      </c>
      <c r="M32" s="263">
        <f>IF(AND(Mehrheitsrechner_ab_11_2014!C32="n",Mehrheitsrechner_ab_11_2014!B32="x"),1*Mehrheitsrechner_ab_11_2014!D32,0)</f>
        <v>0</v>
      </c>
      <c r="N32" s="260">
        <f>IF(AND(Mehrheitsrechner_Art_3_II_Prot!B32="x",Mehrheitsrechner_Art_3_II_Prot!C32="J"),1,0)</f>
        <v>1</v>
      </c>
      <c r="O32" s="261">
        <f>IF(AND(Mehrheitsrechner_Art_3_II_Prot!B32="x",Mehrheitsrechner_Art_3_II_Prot!C32="N"),1,0)</f>
        <v>0</v>
      </c>
      <c r="P32" s="261">
        <f>IF(AND(Mehrheitsrechner_ab_11_2014!H32="e",Mehrheitsrechner_ab_11_2014!G32="x"),1,0)</f>
        <v>0</v>
      </c>
      <c r="Q32" s="261">
        <f>IF(Mehrheitsrechner_ab_11_2014!G33&lt;28, IF('Technische Tabelle'!N32&lt;1,Mehrheitsrechner_ab_11_2014!K32,0), 0)</f>
        <v>0</v>
      </c>
      <c r="R32" s="263">
        <f>IF(AND(Mehrheitsrechner_Art_3_II_Prot!C32="n",Mehrheitsrechner_Art_3_II_Prot!B32="x"),1*Mehrheitsrechner_Art_3_II_Prot!F32,0)</f>
        <v>0</v>
      </c>
      <c r="S32" s="260">
        <f>IF(AND(Mehrheitsrechner_Art_238_II!B36="x",Mehrheitsrechner_Art_238_II!C36="J"),1,0)</f>
        <v>1</v>
      </c>
      <c r="T32" s="261">
        <f>IF(AND(Mehrheitsrechner_Art_238_II!B36="x",Mehrheitsrechner_Art_238_II!C36="N"),1,0)</f>
        <v>0</v>
      </c>
      <c r="U32" s="261">
        <f>IF(AND(Mehrheitsrechner_Art_238_II!C36="e",Mehrheitsrechner_Art_238_II!B36="x"),1,0)</f>
        <v>0</v>
      </c>
      <c r="V32" s="261">
        <f>IF(Mehrheitsrechner_ab_11_2014!L33&lt;28, IF('Technische Tabelle'!S32&lt;1,Mehrheitsrechner_ab_11_2014!P32,0), 0)</f>
        <v>0</v>
      </c>
      <c r="W32" s="263">
        <f>IF(AND(Mehrheitsrechner_Art_238_II!C36="n",Mehrheitsrechner_Art_238_II!B36="x"),1*Mehrheitsrechner_Art_238_II!D36,0)</f>
        <v>0</v>
      </c>
    </row>
    <row r="33" spans="2:23" x14ac:dyDescent="0.2">
      <c r="I33" s="260"/>
      <c r="J33" s="261"/>
      <c r="K33" s="261"/>
      <c r="L33" s="261"/>
      <c r="M33" s="262"/>
      <c r="N33" s="260"/>
      <c r="O33" s="261"/>
      <c r="P33" s="261"/>
      <c r="Q33" s="261"/>
      <c r="R33" s="262"/>
      <c r="S33" s="260"/>
      <c r="T33" s="261"/>
      <c r="U33" s="261"/>
      <c r="V33" s="261"/>
      <c r="W33" s="262"/>
    </row>
    <row r="34" spans="2:23" ht="13.5" thickBot="1" x14ac:dyDescent="0.25">
      <c r="B34" s="11">
        <f t="shared" ref="B34:K34" si="0">SUM(B5:B32)</f>
        <v>0</v>
      </c>
      <c r="C34" s="11">
        <f t="shared" si="0"/>
        <v>0</v>
      </c>
      <c r="D34" s="11">
        <f t="shared" si="0"/>
        <v>0</v>
      </c>
      <c r="E34" s="11">
        <f t="shared" si="0"/>
        <v>0</v>
      </c>
      <c r="F34" s="11">
        <f t="shared" si="0"/>
        <v>0</v>
      </c>
      <c r="G34" s="11">
        <f t="shared" si="0"/>
        <v>0</v>
      </c>
      <c r="I34" s="264">
        <f t="shared" si="0"/>
        <v>28</v>
      </c>
      <c r="J34" s="265">
        <f t="shared" si="0"/>
        <v>0</v>
      </c>
      <c r="K34" s="265">
        <f t="shared" si="0"/>
        <v>0</v>
      </c>
      <c r="L34" s="266"/>
      <c r="M34" s="267">
        <f>SUM(M5:M32)</f>
        <v>0</v>
      </c>
      <c r="N34" s="264">
        <f t="shared" ref="N34:P34" si="1">SUM(N5:N32)</f>
        <v>28</v>
      </c>
      <c r="O34" s="265">
        <f t="shared" si="1"/>
        <v>0</v>
      </c>
      <c r="P34" s="265">
        <f t="shared" si="1"/>
        <v>0</v>
      </c>
      <c r="Q34" s="266"/>
      <c r="R34" s="267">
        <f>SUM(R5:R32)</f>
        <v>0</v>
      </c>
      <c r="S34" s="264">
        <f t="shared" ref="S34:U34" si="2">SUM(S5:S32)</f>
        <v>28</v>
      </c>
      <c r="T34" s="265">
        <f t="shared" si="2"/>
        <v>0</v>
      </c>
      <c r="U34" s="265">
        <f t="shared" si="2"/>
        <v>0</v>
      </c>
      <c r="V34" s="266"/>
      <c r="W34" s="267">
        <f>SUM(W5:W32)</f>
        <v>0</v>
      </c>
    </row>
    <row r="35" spans="2:23" x14ac:dyDescent="0.2">
      <c r="L35" t="s">
        <v>102</v>
      </c>
    </row>
    <row r="36" spans="2:23" ht="16.5" customHeight="1" x14ac:dyDescent="0.2">
      <c r="L36" t="str">
        <f>IF(AND(Mehrheitsrechner_ab_11_2014!B33&lt;28, Mehrheitsrechner_ab_11_2014!F33-SUM(L5:L32)&gt;Mehrheitsrechner_ab_11_2014!D33*0.35), "Ja", "Nein")</f>
        <v>Nein</v>
      </c>
    </row>
    <row r="38" spans="2:23" ht="409.5" x14ac:dyDescent="0.2">
      <c r="B38" s="311" t="s">
        <v>111</v>
      </c>
      <c r="C38" s="311"/>
      <c r="D38" s="311"/>
      <c r="E38" s="311"/>
      <c r="F38" s="311"/>
      <c r="G38" s="311"/>
      <c r="L38" s="234" t="s">
        <v>103</v>
      </c>
      <c r="Q38" t="s">
        <v>119</v>
      </c>
      <c r="V38" t="s">
        <v>119</v>
      </c>
    </row>
  </sheetData>
  <mergeCells count="11">
    <mergeCell ref="S1:W1"/>
    <mergeCell ref="S2:W2"/>
    <mergeCell ref="N1:R1"/>
    <mergeCell ref="N2:R2"/>
    <mergeCell ref="B38:G38"/>
    <mergeCell ref="B2:C2"/>
    <mergeCell ref="D2:E2"/>
    <mergeCell ref="F2:G2"/>
    <mergeCell ref="B1:G1"/>
    <mergeCell ref="I1:M1"/>
    <mergeCell ref="I2:M2"/>
  </mergeCells>
  <pageMargins left="0.78749999999999998" right="0.78749999999999998" top="0.98402777777777795" bottom="0.98402777777777795" header="0.51180555555555496" footer="0.51180555555555496"/>
  <pageSetup paperSize="9" scale="70"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RowHeight="12.75" x14ac:dyDescent="0.2"/>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Start</vt:lpstr>
      <vt:lpstr>Mehrheitsrechner_ab_11_2014</vt:lpstr>
      <vt:lpstr>Mehrheitsrechner_Art_3_II_Prot</vt:lpstr>
      <vt:lpstr>Mehrheitsrechner_Art_238_II</vt:lpstr>
      <vt:lpstr>Technische Tabelle</vt:lpstr>
      <vt:lpstr>Tabelle1</vt:lpstr>
      <vt:lpstr>Tabelle2</vt:lpstr>
      <vt:lpstr>Mehrheitsrechner_ab_11_2014!Druckbereich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Lenski.Edgar</dc:creator>
  <cp:lastModifiedBy>Verrieth, Martin, EA4</cp:lastModifiedBy>
  <cp:revision>4</cp:revision>
  <cp:lastPrinted>2017-04-03T12:46:45Z</cp:lastPrinted>
  <dcterms:created xsi:type="dcterms:W3CDTF">2008-01-22T13:07:58Z</dcterms:created>
  <dcterms:modified xsi:type="dcterms:W3CDTF">2019-01-08T15:53:51Z</dcterms:modified>
  <dc:language>de-DE</dc:language>
</cp:coreProperties>
</file>